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lic\Documents\Ministarstvo\"/>
    </mc:Choice>
  </mc:AlternateContent>
  <workbookProtection workbookPassword="DE31" lockStructure="1"/>
  <bookViews>
    <workbookView xWindow="0" yWindow="0" windowWidth="28800" windowHeight="1222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H108" i="14"/>
  <c r="F108" i="14"/>
  <c r="V107" i="14"/>
  <c r="U107" i="14"/>
  <c r="T107" i="14"/>
  <c r="R107" i="14"/>
  <c r="Q107" i="14"/>
  <c r="P107" i="14"/>
  <c r="O107" i="14"/>
  <c r="N107" i="14"/>
  <c r="M107" i="14"/>
  <c r="H107" i="14"/>
  <c r="F107" i="14"/>
  <c r="V105" i="14"/>
  <c r="U105" i="14"/>
  <c r="T105" i="14"/>
  <c r="R105" i="14"/>
  <c r="Q105" i="14"/>
  <c r="P105" i="14"/>
  <c r="O105" i="14"/>
  <c r="N105" i="14"/>
  <c r="M105" i="14"/>
  <c r="H105" i="14"/>
  <c r="F105" i="14"/>
  <c r="V104" i="14"/>
  <c r="U104" i="14"/>
  <c r="T104" i="14"/>
  <c r="R104" i="14"/>
  <c r="Q104" i="14"/>
  <c r="P104" i="14"/>
  <c r="O104" i="14"/>
  <c r="N104" i="14"/>
  <c r="M104" i="14"/>
  <c r="H104" i="14"/>
  <c r="F104" i="14"/>
  <c r="V103" i="14"/>
  <c r="U103" i="14"/>
  <c r="T103" i="14"/>
  <c r="R103" i="14"/>
  <c r="Q103" i="14"/>
  <c r="P103" i="14"/>
  <c r="O103" i="14"/>
  <c r="N103" i="14"/>
  <c r="M103" i="14"/>
  <c r="H103" i="14"/>
  <c r="F103" i="14"/>
  <c r="V102" i="14"/>
  <c r="U102" i="14"/>
  <c r="T102" i="14"/>
  <c r="R102" i="14"/>
  <c r="Q102" i="14"/>
  <c r="P102" i="14"/>
  <c r="O102" i="14"/>
  <c r="N102" i="14"/>
  <c r="M102" i="14"/>
  <c r="H102" i="14"/>
  <c r="F102" i="14"/>
  <c r="V101" i="14"/>
  <c r="U101" i="14"/>
  <c r="T101" i="14"/>
  <c r="R101" i="14"/>
  <c r="Q101" i="14"/>
  <c r="P101" i="14"/>
  <c r="O101" i="14"/>
  <c r="N101" i="14"/>
  <c r="M101" i="14"/>
  <c r="H101" i="14"/>
  <c r="F101" i="14"/>
  <c r="V99" i="14"/>
  <c r="U99" i="14"/>
  <c r="T99" i="14"/>
  <c r="R99" i="14"/>
  <c r="Q99" i="14"/>
  <c r="P99" i="14"/>
  <c r="O99" i="14"/>
  <c r="N99" i="14"/>
  <c r="M99" i="14"/>
  <c r="H99" i="14"/>
  <c r="F99" i="14"/>
  <c r="V98" i="14"/>
  <c r="U98" i="14"/>
  <c r="T98" i="14"/>
  <c r="R98" i="14"/>
  <c r="Q98" i="14"/>
  <c r="P98" i="14"/>
  <c r="O98" i="14"/>
  <c r="N98" i="14"/>
  <c r="M98" i="14"/>
  <c r="H98" i="14"/>
  <c r="F98" i="14"/>
  <c r="V97" i="14"/>
  <c r="U97" i="14"/>
  <c r="T97" i="14"/>
  <c r="R97" i="14"/>
  <c r="Q97" i="14"/>
  <c r="P97" i="14"/>
  <c r="O97" i="14"/>
  <c r="N97" i="14"/>
  <c r="M97" i="14"/>
  <c r="H97" i="14"/>
  <c r="F97" i="14"/>
  <c r="V96" i="14"/>
  <c r="U96" i="14"/>
  <c r="T96" i="14"/>
  <c r="R96" i="14"/>
  <c r="Q96" i="14"/>
  <c r="P96" i="14"/>
  <c r="O96" i="14"/>
  <c r="N96" i="14"/>
  <c r="M96" i="14"/>
  <c r="H96" i="14"/>
  <c r="F96" i="14"/>
  <c r="V95" i="14"/>
  <c r="U95" i="14"/>
  <c r="T95" i="14"/>
  <c r="R95" i="14"/>
  <c r="Q95" i="14"/>
  <c r="P95" i="14"/>
  <c r="O95" i="14"/>
  <c r="N95" i="14"/>
  <c r="M95" i="14"/>
  <c r="H95" i="14"/>
  <c r="F95" i="14"/>
  <c r="V94" i="14"/>
  <c r="U94" i="14"/>
  <c r="T94" i="14"/>
  <c r="R94" i="14"/>
  <c r="Q94" i="14"/>
  <c r="P94" i="14"/>
  <c r="O94" i="14"/>
  <c r="N94" i="14"/>
  <c r="M94" i="14"/>
  <c r="H94" i="14"/>
  <c r="F94" i="14"/>
  <c r="V93" i="14"/>
  <c r="U93" i="14"/>
  <c r="T93" i="14"/>
  <c r="R93" i="14"/>
  <c r="Q93" i="14"/>
  <c r="P93" i="14"/>
  <c r="O93" i="14"/>
  <c r="N93" i="14"/>
  <c r="M93" i="14"/>
  <c r="H93" i="14"/>
  <c r="F93" i="14"/>
  <c r="V88" i="14"/>
  <c r="U88" i="14"/>
  <c r="T88" i="14"/>
  <c r="R88" i="14"/>
  <c r="Q88" i="14"/>
  <c r="P88" i="14"/>
  <c r="O88" i="14"/>
  <c r="N88" i="14"/>
  <c r="M88" i="14"/>
  <c r="H88" i="14"/>
  <c r="F88" i="14"/>
  <c r="V87" i="14"/>
  <c r="U87" i="14"/>
  <c r="T87" i="14"/>
  <c r="R87" i="14"/>
  <c r="Q87" i="14"/>
  <c r="P87" i="14"/>
  <c r="O87" i="14"/>
  <c r="N87" i="14"/>
  <c r="M87" i="14"/>
  <c r="H87" i="14"/>
  <c r="F87" i="14"/>
  <c r="V85" i="14"/>
  <c r="U85" i="14"/>
  <c r="T85" i="14"/>
  <c r="R85" i="14"/>
  <c r="Q85" i="14"/>
  <c r="P85" i="14"/>
  <c r="O85" i="14"/>
  <c r="N85" i="14"/>
  <c r="M85" i="14"/>
  <c r="H85" i="14"/>
  <c r="F85" i="14"/>
  <c r="V84" i="14"/>
  <c r="U84" i="14"/>
  <c r="T84" i="14"/>
  <c r="R84" i="14"/>
  <c r="Q84" i="14"/>
  <c r="P84" i="14"/>
  <c r="O84" i="14"/>
  <c r="N84" i="14"/>
  <c r="M84" i="14"/>
  <c r="H84" i="14"/>
  <c r="F84" i="14"/>
  <c r="V83" i="14"/>
  <c r="U83" i="14"/>
  <c r="T83" i="14"/>
  <c r="R83" i="14"/>
  <c r="Q83" i="14"/>
  <c r="P83" i="14"/>
  <c r="O83" i="14"/>
  <c r="N83" i="14"/>
  <c r="M83" i="14"/>
  <c r="H83" i="14"/>
  <c r="F83" i="14"/>
  <c r="V82" i="14"/>
  <c r="U82" i="14"/>
  <c r="T82" i="14"/>
  <c r="R82" i="14"/>
  <c r="Q82" i="14"/>
  <c r="P82" i="14"/>
  <c r="O82" i="14"/>
  <c r="N82" i="14"/>
  <c r="M82" i="14"/>
  <c r="H82" i="14"/>
  <c r="F82" i="14"/>
  <c r="V81" i="14"/>
  <c r="U81" i="14"/>
  <c r="T81" i="14"/>
  <c r="R81" i="14"/>
  <c r="Q81" i="14"/>
  <c r="P81" i="14"/>
  <c r="O81" i="14"/>
  <c r="N81" i="14"/>
  <c r="M81" i="14"/>
  <c r="H81" i="14"/>
  <c r="F81" i="14"/>
  <c r="V79" i="14"/>
  <c r="U79" i="14"/>
  <c r="T79" i="14"/>
  <c r="R79" i="14"/>
  <c r="Q79" i="14"/>
  <c r="P79" i="14"/>
  <c r="O79" i="14"/>
  <c r="N79" i="14"/>
  <c r="M79" i="14"/>
  <c r="H79" i="14"/>
  <c r="F79" i="14"/>
  <c r="V78" i="14"/>
  <c r="U78" i="14"/>
  <c r="T78" i="14"/>
  <c r="R78" i="14"/>
  <c r="Q78" i="14"/>
  <c r="P78" i="14"/>
  <c r="O78" i="14"/>
  <c r="N78" i="14"/>
  <c r="M78" i="14"/>
  <c r="H78" i="14"/>
  <c r="F78" i="14"/>
  <c r="V77" i="14"/>
  <c r="U77" i="14"/>
  <c r="T77" i="14"/>
  <c r="R77" i="14"/>
  <c r="Q77" i="14"/>
  <c r="P77" i="14"/>
  <c r="O77" i="14"/>
  <c r="N77" i="14"/>
  <c r="M77" i="14"/>
  <c r="H77" i="14"/>
  <c r="F77" i="14"/>
  <c r="V76" i="14"/>
  <c r="U76" i="14"/>
  <c r="T76" i="14"/>
  <c r="R76" i="14"/>
  <c r="Q76" i="14"/>
  <c r="P76" i="14"/>
  <c r="O76" i="14"/>
  <c r="N76" i="14"/>
  <c r="M76" i="14"/>
  <c r="H76" i="14"/>
  <c r="F76" i="14"/>
  <c r="V75" i="14"/>
  <c r="U75" i="14"/>
  <c r="T75" i="14"/>
  <c r="R75" i="14"/>
  <c r="Q75" i="14"/>
  <c r="P75" i="14"/>
  <c r="O75" i="14"/>
  <c r="N75" i="14"/>
  <c r="M75" i="14"/>
  <c r="H75" i="14"/>
  <c r="F75" i="14"/>
  <c r="V74" i="14"/>
  <c r="U74" i="14"/>
  <c r="T74" i="14"/>
  <c r="R74" i="14"/>
  <c r="Q74" i="14"/>
  <c r="P74" i="14"/>
  <c r="O74" i="14"/>
  <c r="N74" i="14"/>
  <c r="M74" i="14"/>
  <c r="H74" i="14"/>
  <c r="F74" i="14"/>
  <c r="V73" i="14"/>
  <c r="U73" i="14"/>
  <c r="T73" i="14"/>
  <c r="R73" i="14"/>
  <c r="Q73" i="14"/>
  <c r="P73" i="14"/>
  <c r="O73" i="14"/>
  <c r="N73" i="14"/>
  <c r="M73" i="14"/>
  <c r="H73" i="14"/>
  <c r="F73" i="14"/>
  <c r="V68" i="14"/>
  <c r="U68" i="14"/>
  <c r="T68" i="14"/>
  <c r="R68" i="14"/>
  <c r="Q68" i="14"/>
  <c r="P68" i="14"/>
  <c r="O68" i="14"/>
  <c r="N68" i="14"/>
  <c r="M68" i="14"/>
  <c r="F68" i="14"/>
  <c r="V67" i="14"/>
  <c r="U67" i="14"/>
  <c r="T67" i="14"/>
  <c r="R67" i="14"/>
  <c r="Q67" i="14"/>
  <c r="P67" i="14"/>
  <c r="O67" i="14"/>
  <c r="N67" i="14"/>
  <c r="M67" i="14"/>
  <c r="F67" i="14"/>
  <c r="V66" i="14"/>
  <c r="U66" i="14"/>
  <c r="T66" i="14"/>
  <c r="R66" i="14"/>
  <c r="Q66" i="14"/>
  <c r="P66" i="14"/>
  <c r="O66" i="14"/>
  <c r="N66" i="14"/>
  <c r="M66" i="14"/>
  <c r="F66" i="14"/>
  <c r="V65" i="14"/>
  <c r="U65" i="14"/>
  <c r="T65" i="14"/>
  <c r="R65" i="14"/>
  <c r="Q65" i="14"/>
  <c r="P65" i="14"/>
  <c r="O65" i="14"/>
  <c r="N65" i="14"/>
  <c r="M65" i="14"/>
  <c r="F65" i="14"/>
  <c r="V64" i="14"/>
  <c r="U64" i="14"/>
  <c r="T64" i="14"/>
  <c r="R64" i="14"/>
  <c r="Q64" i="14"/>
  <c r="P64" i="14"/>
  <c r="O64" i="14"/>
  <c r="N64" i="14"/>
  <c r="M64" i="14"/>
  <c r="F64" i="14"/>
  <c r="V62" i="14"/>
  <c r="U62" i="14"/>
  <c r="T62" i="14"/>
  <c r="R62" i="14"/>
  <c r="Q62" i="14"/>
  <c r="P62" i="14"/>
  <c r="O62" i="14"/>
  <c r="N62" i="14"/>
  <c r="M62" i="14"/>
  <c r="F62" i="14"/>
  <c r="V61" i="14"/>
  <c r="U61" i="14"/>
  <c r="T61" i="14"/>
  <c r="R61" i="14"/>
  <c r="Q61" i="14"/>
  <c r="P61" i="14"/>
  <c r="O61" i="14"/>
  <c r="N61" i="14"/>
  <c r="M61" i="14"/>
  <c r="F61" i="14"/>
  <c r="V60" i="14"/>
  <c r="U60" i="14"/>
  <c r="T60" i="14"/>
  <c r="R60" i="14"/>
  <c r="Q60" i="14"/>
  <c r="P60" i="14"/>
  <c r="O60" i="14"/>
  <c r="N60" i="14"/>
  <c r="M60" i="14"/>
  <c r="F60" i="14"/>
  <c r="V57" i="14"/>
  <c r="U57" i="14"/>
  <c r="T57" i="14"/>
  <c r="R57" i="14"/>
  <c r="Q57" i="14"/>
  <c r="P57" i="14"/>
  <c r="O57" i="14"/>
  <c r="N57" i="14"/>
  <c r="M57" i="14"/>
  <c r="F57" i="14"/>
  <c r="V56" i="14"/>
  <c r="U56" i="14"/>
  <c r="T56" i="14"/>
  <c r="R56" i="14"/>
  <c r="Q56" i="14"/>
  <c r="P56" i="14"/>
  <c r="O56" i="14"/>
  <c r="N56" i="14"/>
  <c r="M56" i="14"/>
  <c r="F56" i="14"/>
  <c r="V55" i="14"/>
  <c r="U55" i="14"/>
  <c r="T55" i="14"/>
  <c r="R55" i="14"/>
  <c r="Q55" i="14"/>
  <c r="P55" i="14"/>
  <c r="O55" i="14"/>
  <c r="N55" i="14"/>
  <c r="M55" i="14"/>
  <c r="F55" i="14"/>
  <c r="V54" i="14"/>
  <c r="U54" i="14"/>
  <c r="T54" i="14"/>
  <c r="R54" i="14"/>
  <c r="Q54" i="14"/>
  <c r="P54" i="14"/>
  <c r="O54" i="14"/>
  <c r="N54" i="14"/>
  <c r="M54" i="14"/>
  <c r="F54" i="14"/>
  <c r="V52" i="14"/>
  <c r="U52" i="14"/>
  <c r="T52" i="14"/>
  <c r="R52" i="14"/>
  <c r="Q52" i="14"/>
  <c r="P52" i="14"/>
  <c r="O52" i="14"/>
  <c r="N52" i="14"/>
  <c r="M52" i="14"/>
  <c r="F52" i="14"/>
  <c r="V50" i="14"/>
  <c r="U50" i="14"/>
  <c r="T50" i="14"/>
  <c r="R50" i="14"/>
  <c r="Q50" i="14"/>
  <c r="P50" i="14"/>
  <c r="O50" i="14"/>
  <c r="N50" i="14"/>
  <c r="M50" i="14"/>
  <c r="F50" i="14"/>
  <c r="V48" i="14"/>
  <c r="U48" i="14"/>
  <c r="T48" i="14"/>
  <c r="R48" i="14"/>
  <c r="Q48" i="14"/>
  <c r="P48" i="14"/>
  <c r="O48" i="14"/>
  <c r="N48" i="14"/>
  <c r="M48" i="14"/>
  <c r="F48" i="14"/>
  <c r="V47" i="14"/>
  <c r="U47" i="14"/>
  <c r="T47" i="14"/>
  <c r="R47" i="14"/>
  <c r="Q47" i="14"/>
  <c r="P47" i="14"/>
  <c r="O47" i="14"/>
  <c r="N47" i="14"/>
  <c r="M47" i="14"/>
  <c r="F47" i="14"/>
  <c r="V46" i="14"/>
  <c r="U46" i="14"/>
  <c r="T46" i="14"/>
  <c r="R46" i="14"/>
  <c r="Q46" i="14"/>
  <c r="P46" i="14"/>
  <c r="O46" i="14"/>
  <c r="N46" i="14"/>
  <c r="M46" i="14"/>
  <c r="F46" i="14"/>
  <c r="V45" i="14"/>
  <c r="U45" i="14"/>
  <c r="T45" i="14"/>
  <c r="R45" i="14"/>
  <c r="Q45" i="14"/>
  <c r="P45" i="14"/>
  <c r="O45" i="14"/>
  <c r="N45" i="14"/>
  <c r="M45" i="14"/>
  <c r="F45" i="14"/>
  <c r="V44" i="14"/>
  <c r="U44" i="14"/>
  <c r="T44" i="14"/>
  <c r="R44" i="14"/>
  <c r="Q44" i="14"/>
  <c r="P44" i="14"/>
  <c r="O44" i="14"/>
  <c r="N44" i="14"/>
  <c r="M44" i="14"/>
  <c r="F44" i="14"/>
  <c r="V43" i="14"/>
  <c r="U43" i="14"/>
  <c r="T43" i="14"/>
  <c r="R43" i="14"/>
  <c r="Q43" i="14"/>
  <c r="P43" i="14"/>
  <c r="O43" i="14"/>
  <c r="N43" i="14"/>
  <c r="M43" i="14"/>
  <c r="F43" i="14"/>
  <c r="V41" i="14"/>
  <c r="U41" i="14"/>
  <c r="T41" i="14"/>
  <c r="R41" i="14"/>
  <c r="Q41" i="14"/>
  <c r="P41" i="14"/>
  <c r="O41" i="14"/>
  <c r="N41" i="14"/>
  <c r="M41" i="14"/>
  <c r="F41" i="14"/>
  <c r="V40" i="14"/>
  <c r="U40" i="14"/>
  <c r="T40" i="14"/>
  <c r="R40" i="14"/>
  <c r="Q40" i="14"/>
  <c r="P40" i="14"/>
  <c r="O40" i="14"/>
  <c r="N40" i="14"/>
  <c r="M40" i="14"/>
  <c r="F40" i="14"/>
  <c r="V37" i="14"/>
  <c r="U37" i="14"/>
  <c r="T37" i="14"/>
  <c r="R37" i="14"/>
  <c r="Q37" i="14"/>
  <c r="P37" i="14"/>
  <c r="O37" i="14"/>
  <c r="N37" i="14"/>
  <c r="M37" i="14"/>
  <c r="F37" i="14"/>
  <c r="V36" i="14"/>
  <c r="U36" i="14"/>
  <c r="T36" i="14"/>
  <c r="R36" i="14"/>
  <c r="Q36" i="14"/>
  <c r="P36" i="14"/>
  <c r="O36" i="14"/>
  <c r="N36" i="14"/>
  <c r="M36" i="14"/>
  <c r="F36" i="14"/>
  <c r="V35" i="14"/>
  <c r="U35" i="14"/>
  <c r="T35" i="14"/>
  <c r="R35" i="14"/>
  <c r="Q35" i="14"/>
  <c r="P35" i="14"/>
  <c r="O35" i="14"/>
  <c r="N35" i="14"/>
  <c r="M35" i="14"/>
  <c r="F35" i="14"/>
  <c r="V34" i="14"/>
  <c r="U34" i="14"/>
  <c r="T34" i="14"/>
  <c r="R34" i="14"/>
  <c r="Q34" i="14"/>
  <c r="P34" i="14"/>
  <c r="O34" i="14"/>
  <c r="N34" i="14"/>
  <c r="M34" i="14"/>
  <c r="F34" i="14"/>
  <c r="V32" i="14"/>
  <c r="U32" i="14"/>
  <c r="T32" i="14"/>
  <c r="R32" i="14"/>
  <c r="Q32" i="14"/>
  <c r="P32" i="14"/>
  <c r="O32" i="14"/>
  <c r="N32" i="14"/>
  <c r="M32" i="14"/>
  <c r="F32" i="14"/>
  <c r="V31" i="14"/>
  <c r="U31" i="14"/>
  <c r="T31" i="14"/>
  <c r="R31" i="14"/>
  <c r="Q31" i="14"/>
  <c r="P31" i="14"/>
  <c r="O31" i="14"/>
  <c r="N31" i="14"/>
  <c r="M31" i="14"/>
  <c r="F31" i="14"/>
  <c r="V29" i="14"/>
  <c r="U29" i="14"/>
  <c r="T29" i="14"/>
  <c r="R29" i="14"/>
  <c r="Q29" i="14"/>
  <c r="P29" i="14"/>
  <c r="O29" i="14"/>
  <c r="N29" i="14"/>
  <c r="M29" i="14"/>
  <c r="F29" i="14"/>
  <c r="V28" i="14"/>
  <c r="U28" i="14"/>
  <c r="T28" i="14"/>
  <c r="R28" i="14"/>
  <c r="Q28" i="14"/>
  <c r="P28" i="14"/>
  <c r="O28" i="14"/>
  <c r="N28" i="14"/>
  <c r="M28" i="14"/>
  <c r="F28" i="14"/>
  <c r="V27" i="14"/>
  <c r="U27" i="14"/>
  <c r="T27" i="14"/>
  <c r="R27" i="14"/>
  <c r="Q27" i="14"/>
  <c r="P27" i="14"/>
  <c r="O27" i="14"/>
  <c r="N27" i="14"/>
  <c r="M27" i="14"/>
  <c r="F27" i="14"/>
  <c r="V26" i="14"/>
  <c r="U26" i="14"/>
  <c r="T26" i="14"/>
  <c r="R26" i="14"/>
  <c r="Q26" i="14"/>
  <c r="P26" i="14"/>
  <c r="O26" i="14"/>
  <c r="N26" i="14"/>
  <c r="M26" i="14"/>
  <c r="F26" i="14"/>
  <c r="V25" i="14"/>
  <c r="U25" i="14"/>
  <c r="T25" i="14"/>
  <c r="R25" i="14"/>
  <c r="Q25" i="14"/>
  <c r="P25" i="14"/>
  <c r="O25" i="14"/>
  <c r="N25" i="14"/>
  <c r="M25" i="14"/>
  <c r="F25" i="14"/>
  <c r="V24" i="14"/>
  <c r="U24" i="14"/>
  <c r="T24" i="14"/>
  <c r="R24" i="14"/>
  <c r="Q24" i="14"/>
  <c r="P24" i="14"/>
  <c r="O24" i="14"/>
  <c r="N24" i="14"/>
  <c r="M24" i="14"/>
  <c r="F24" i="14"/>
  <c r="V22" i="14"/>
  <c r="U22" i="14"/>
  <c r="T22" i="14"/>
  <c r="R22" i="14"/>
  <c r="Q22" i="14"/>
  <c r="P22" i="14"/>
  <c r="O22" i="14"/>
  <c r="N22" i="14"/>
  <c r="M22" i="14"/>
  <c r="F22" i="14"/>
  <c r="V21" i="14"/>
  <c r="U21" i="14"/>
  <c r="T21" i="14"/>
  <c r="R21" i="14"/>
  <c r="Q21" i="14"/>
  <c r="P21" i="14"/>
  <c r="O21" i="14"/>
  <c r="N21" i="14"/>
  <c r="M21" i="14"/>
  <c r="F21" i="14"/>
  <c r="V20" i="14"/>
  <c r="U20" i="14"/>
  <c r="T20" i="14"/>
  <c r="R20" i="14"/>
  <c r="Q20" i="14"/>
  <c r="P20" i="14"/>
  <c r="O20" i="14"/>
  <c r="N20" i="14"/>
  <c r="M20" i="14"/>
  <c r="F20" i="14"/>
  <c r="V18" i="14"/>
  <c r="U18" i="14"/>
  <c r="T18" i="14"/>
  <c r="R18" i="14"/>
  <c r="Q18" i="14"/>
  <c r="P18" i="14"/>
  <c r="O18" i="14"/>
  <c r="N18" i="14"/>
  <c r="M18" i="14"/>
  <c r="F18" i="14"/>
  <c r="V17" i="14"/>
  <c r="U17" i="14"/>
  <c r="T17" i="14"/>
  <c r="R17" i="14"/>
  <c r="Q17" i="14"/>
  <c r="P17" i="14"/>
  <c r="O17" i="14"/>
  <c r="N17" i="14"/>
  <c r="M17" i="14"/>
  <c r="F17" i="14"/>
  <c r="V16" i="14"/>
  <c r="U16" i="14"/>
  <c r="T16" i="14"/>
  <c r="R16" i="14"/>
  <c r="Q16" i="14"/>
  <c r="P16" i="14"/>
  <c r="O16" i="14"/>
  <c r="N16" i="14"/>
  <c r="M16" i="14"/>
  <c r="F16" i="14"/>
  <c r="V14" i="14"/>
  <c r="U14" i="14"/>
  <c r="T14" i="14"/>
  <c r="R14" i="14"/>
  <c r="Q14" i="14"/>
  <c r="P14" i="14"/>
  <c r="O14" i="14"/>
  <c r="N14" i="14"/>
  <c r="M14" i="14"/>
  <c r="F14" i="14"/>
  <c r="V13" i="14"/>
  <c r="U13" i="14"/>
  <c r="T13" i="14"/>
  <c r="R13" i="14"/>
  <c r="Q13" i="14"/>
  <c r="P13" i="14"/>
  <c r="O13" i="14"/>
  <c r="N13" i="14"/>
  <c r="M13" i="14"/>
  <c r="F13" i="14"/>
  <c r="V12" i="14"/>
  <c r="U12" i="14"/>
  <c r="T12" i="14"/>
  <c r="R12" i="14"/>
  <c r="Q12" i="14"/>
  <c r="P12" i="14"/>
  <c r="O12" i="14"/>
  <c r="N12" i="14"/>
  <c r="M12" i="14"/>
  <c r="F12" i="14"/>
  <c r="V11" i="14"/>
  <c r="U11" i="14"/>
  <c r="T11" i="14"/>
  <c r="R11" i="14"/>
  <c r="Q11" i="14"/>
  <c r="P11" i="14"/>
  <c r="O11" i="14"/>
  <c r="N11" i="14"/>
  <c r="M11" i="14"/>
  <c r="F11" i="14"/>
  <c r="V10" i="14"/>
  <c r="U10" i="14"/>
  <c r="T10" i="14"/>
  <c r="R10" i="14"/>
  <c r="Q10" i="14"/>
  <c r="P10" i="14"/>
  <c r="O10" i="14"/>
  <c r="N10" i="14"/>
  <c r="M10" i="14"/>
  <c r="F10" i="14"/>
  <c r="V8" i="14"/>
  <c r="U8" i="14"/>
  <c r="T8" i="14"/>
  <c r="R8" i="14"/>
  <c r="Q8" i="14"/>
  <c r="P8" i="14"/>
  <c r="O8" i="14"/>
  <c r="N8" i="14"/>
  <c r="M8" i="14"/>
  <c r="F8" i="14"/>
  <c r="V7" i="14"/>
  <c r="U7" i="14"/>
  <c r="T7" i="14"/>
  <c r="R7" i="14"/>
  <c r="Q7" i="14"/>
  <c r="P7" i="14"/>
  <c r="O7" i="14"/>
  <c r="N7" i="14"/>
  <c r="M7" i="14"/>
  <c r="F7" i="14"/>
  <c r="V6" i="14"/>
  <c r="U6" i="14"/>
  <c r="T6" i="14"/>
  <c r="R6" i="14"/>
  <c r="Q6" i="14"/>
  <c r="P6" i="14"/>
  <c r="O6" i="14"/>
  <c r="N6" i="14"/>
  <c r="M6" i="14"/>
  <c r="F6" i="14"/>
  <c r="U106" i="14" l="1"/>
  <c r="N92" i="14"/>
  <c r="T92" i="14"/>
  <c r="F100" i="14"/>
  <c r="H100" i="14"/>
  <c r="N100" i="14"/>
  <c r="P106" i="14"/>
  <c r="R106" i="14"/>
  <c r="H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N120" i="13"/>
  <c r="H120" i="13"/>
  <c r="F120" i="13"/>
  <c r="W38" i="13"/>
  <c r="U38" i="13"/>
  <c r="E38" i="13"/>
  <c r="V79" i="13"/>
  <c r="T79" i="13"/>
  <c r="N79" i="13"/>
  <c r="H79" i="13"/>
  <c r="F79" i="13"/>
  <c r="E78" i="13"/>
  <c r="W120" i="13"/>
  <c r="U120" i="13"/>
  <c r="E120" i="13"/>
  <c r="V38" i="13"/>
  <c r="T38" i="13"/>
  <c r="N38" i="13"/>
  <c r="F38" i="13"/>
  <c r="U79" i="13"/>
  <c r="E79" i="13"/>
  <c r="H38" i="13"/>
  <c r="W79" i="13"/>
  <c r="Q3" i="14"/>
  <c r="Q9" i="13" s="1"/>
  <c r="P3" i="14"/>
  <c r="P9" i="13" s="1"/>
  <c r="W122" i="13"/>
  <c r="N122" i="13"/>
  <c r="F122" i="13"/>
  <c r="W81" i="13"/>
  <c r="N81" i="13"/>
  <c r="F81" i="13"/>
  <c r="V122" i="13"/>
  <c r="V81" i="13"/>
  <c r="U122" i="13"/>
  <c r="H122" i="13"/>
  <c r="U81" i="13"/>
  <c r="H81" i="13"/>
  <c r="T122" i="13"/>
  <c r="T81" i="13"/>
  <c r="T121" i="13"/>
  <c r="T119" i="13"/>
  <c r="T118" i="13"/>
  <c r="T93" i="13"/>
  <c r="T80" i="13"/>
  <c r="T78" i="13"/>
  <c r="T77" i="13"/>
  <c r="W52" i="13"/>
  <c r="U52" i="13"/>
  <c r="N52" i="13"/>
  <c r="H52" i="13"/>
  <c r="F52" i="13"/>
  <c r="W39" i="13"/>
  <c r="U39" i="13"/>
  <c r="N39" i="13"/>
  <c r="H39" i="13"/>
  <c r="F39" i="13"/>
  <c r="W37" i="13"/>
  <c r="U37" i="13"/>
  <c r="W121" i="13"/>
  <c r="U121" i="13"/>
  <c r="N121" i="13"/>
  <c r="H121" i="13"/>
  <c r="F121" i="13"/>
  <c r="W119" i="13"/>
  <c r="U119" i="13"/>
  <c r="N119" i="13"/>
  <c r="H119" i="13"/>
  <c r="F119" i="13"/>
  <c r="W118" i="13"/>
  <c r="U118" i="13"/>
  <c r="N118" i="13"/>
  <c r="H118" i="13"/>
  <c r="F118" i="13"/>
  <c r="W93" i="13"/>
  <c r="U93" i="13"/>
  <c r="N93" i="13"/>
  <c r="H93" i="13"/>
  <c r="F93" i="13"/>
  <c r="W80" i="13"/>
  <c r="U80" i="13"/>
  <c r="N80" i="13"/>
  <c r="H80" i="13"/>
  <c r="F80" i="13"/>
  <c r="W78" i="13"/>
  <c r="U78" i="13"/>
  <c r="N78" i="13"/>
  <c r="H78" i="13"/>
  <c r="F78" i="13"/>
  <c r="W77" i="13"/>
  <c r="U77" i="13"/>
  <c r="N77" i="13"/>
  <c r="H77" i="13"/>
  <c r="F77" i="13"/>
  <c r="T52" i="13"/>
  <c r="T39" i="13"/>
  <c r="N37" i="13"/>
  <c r="H37" i="13"/>
  <c r="F37" i="13"/>
  <c r="W36" i="13"/>
  <c r="U36" i="13"/>
  <c r="N36" i="13"/>
  <c r="H36" i="13"/>
  <c r="F36" i="13"/>
  <c r="W11" i="13"/>
  <c r="U11" i="13"/>
  <c r="N11" i="13"/>
  <c r="H11" i="13"/>
  <c r="F11" i="13"/>
  <c r="T37" i="13"/>
  <c r="T36" i="13"/>
  <c r="T11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H123" i="13" l="1"/>
  <c r="H82" i="13"/>
  <c r="W123" i="13"/>
  <c r="W82" i="13"/>
  <c r="H27" i="13"/>
  <c r="H116" i="13"/>
  <c r="W109" i="13"/>
  <c r="H68" i="13"/>
  <c r="W68" i="13"/>
  <c r="H109" i="13"/>
  <c r="W27" i="13"/>
  <c r="H34" i="13"/>
  <c r="H41" i="13"/>
  <c r="V59" i="14"/>
  <c r="H75" i="13"/>
  <c r="W41" i="13"/>
  <c r="W75" i="13"/>
  <c r="W116" i="13"/>
  <c r="W34" i="13"/>
  <c r="H6" i="13" l="1"/>
  <c r="H8" i="13" s="1"/>
  <c r="H42" i="13"/>
  <c r="H88" i="13"/>
  <c r="H90" i="13" s="1"/>
  <c r="H83" i="13"/>
  <c r="W42" i="13"/>
  <c r="W88" i="13"/>
  <c r="W90" i="13" s="1"/>
  <c r="H124" i="13"/>
  <c r="H47" i="13"/>
  <c r="H49" i="13" s="1"/>
  <c r="W47" i="13"/>
  <c r="W49" i="13" s="1"/>
  <c r="W6" i="13"/>
  <c r="W8" i="13" s="1"/>
  <c r="W83" i="13"/>
  <c r="W124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J68" i="14" l="1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107" i="14"/>
  <c r="J102" i="14"/>
  <c r="J97" i="14"/>
  <c r="J93" i="14"/>
  <c r="J84" i="14"/>
  <c r="J79" i="14"/>
  <c r="J75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J106" i="14" l="1"/>
  <c r="J92" i="14"/>
  <c r="J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J79" i="13" l="1"/>
  <c r="J122" i="13"/>
  <c r="J81" i="13"/>
  <c r="J52" i="13"/>
  <c r="J119" i="13"/>
  <c r="J93" i="13"/>
  <c r="J78" i="13"/>
  <c r="J37" i="13"/>
  <c r="J11" i="13"/>
  <c r="J38" i="13"/>
  <c r="J39" i="13"/>
  <c r="J121" i="13"/>
  <c r="J118" i="13"/>
  <c r="J80" i="13"/>
  <c r="J77" i="13"/>
  <c r="J36" i="13"/>
  <c r="J120" i="13"/>
  <c r="Q38" i="13"/>
  <c r="Q81" i="13"/>
  <c r="Q121" i="13"/>
  <c r="Q118" i="13"/>
  <c r="Q80" i="13"/>
  <c r="Q77" i="13"/>
  <c r="Q39" i="13"/>
  <c r="Q36" i="13"/>
  <c r="Q114" i="13"/>
  <c r="Q105" i="13"/>
  <c r="Q97" i="13"/>
  <c r="Q71" i="13"/>
  <c r="Q62" i="13"/>
  <c r="Q54" i="13"/>
  <c r="Q28" i="13"/>
  <c r="Q19" i="13"/>
  <c r="Q113" i="13"/>
  <c r="Q96" i="13"/>
  <c r="Q59" i="13"/>
  <c r="Q26" i="13"/>
  <c r="Q102" i="13"/>
  <c r="Q70" i="13"/>
  <c r="Q53" i="13"/>
  <c r="Q20" i="13"/>
  <c r="Q52" i="13"/>
  <c r="Q37" i="13"/>
  <c r="Q11" i="13"/>
  <c r="Q110" i="13"/>
  <c r="Q101" i="13"/>
  <c r="Q76" i="13"/>
  <c r="Q66" i="13"/>
  <c r="Q32" i="13"/>
  <c r="Q15" i="13"/>
  <c r="Q67" i="13"/>
  <c r="Q18" i="13"/>
  <c r="Q94" i="13"/>
  <c r="Q29" i="13"/>
  <c r="Q112" i="13"/>
  <c r="Q103" i="13"/>
  <c r="Q95" i="13"/>
  <c r="Q69" i="13"/>
  <c r="Q60" i="13"/>
  <c r="Q35" i="13"/>
  <c r="Q25" i="13"/>
  <c r="Q17" i="13"/>
  <c r="Q108" i="13"/>
  <c r="Q72" i="13"/>
  <c r="Q55" i="13"/>
  <c r="Q22" i="13"/>
  <c r="Q115" i="13"/>
  <c r="Q98" i="13"/>
  <c r="Q65" i="13"/>
  <c r="Q33" i="13"/>
  <c r="Q16" i="13"/>
  <c r="Q58" i="13"/>
  <c r="Q23" i="13"/>
  <c r="Q104" i="13"/>
  <c r="Q40" i="13"/>
  <c r="Q111" i="13"/>
  <c r="Q61" i="13"/>
  <c r="Q12" i="13"/>
  <c r="Q122" i="13"/>
  <c r="Q119" i="13"/>
  <c r="Q93" i="13"/>
  <c r="Q78" i="13"/>
  <c r="Q120" i="13"/>
  <c r="Q79" i="13"/>
  <c r="Q117" i="13"/>
  <c r="Q107" i="13"/>
  <c r="Q99" i="13"/>
  <c r="Q73" i="13"/>
  <c r="Q64" i="13"/>
  <c r="Q56" i="13"/>
  <c r="Q30" i="13"/>
  <c r="Q21" i="13"/>
  <c r="Q13" i="13"/>
  <c r="Q100" i="13"/>
  <c r="Q63" i="13"/>
  <c r="Q31" i="13"/>
  <c r="Q14" i="13"/>
  <c r="Q106" i="13"/>
  <c r="Q74" i="13"/>
  <c r="Q57" i="13"/>
  <c r="Q24" i="13"/>
  <c r="L81" i="13"/>
  <c r="L39" i="13"/>
  <c r="L119" i="13"/>
  <c r="L78" i="13"/>
  <c r="L37" i="13"/>
  <c r="L110" i="13"/>
  <c r="L101" i="13"/>
  <c r="L76" i="13"/>
  <c r="L66" i="13"/>
  <c r="L58" i="13"/>
  <c r="L33" i="13"/>
  <c r="L24" i="13"/>
  <c r="L16" i="13"/>
  <c r="L111" i="13"/>
  <c r="L96" i="13"/>
  <c r="L59" i="13"/>
  <c r="L23" i="13"/>
  <c r="L94" i="13"/>
  <c r="L61" i="13"/>
  <c r="L30" i="13"/>
  <c r="L13" i="13"/>
  <c r="L117" i="13"/>
  <c r="L107" i="13"/>
  <c r="L99" i="13"/>
  <c r="L73" i="13"/>
  <c r="L64" i="13"/>
  <c r="L56" i="13"/>
  <c r="L31" i="13"/>
  <c r="L22" i="13"/>
  <c r="L14" i="13"/>
  <c r="L122" i="13"/>
  <c r="L52" i="13"/>
  <c r="L121" i="13"/>
  <c r="L80" i="13"/>
  <c r="L79" i="13"/>
  <c r="L93" i="13"/>
  <c r="L11" i="13"/>
  <c r="L114" i="13"/>
  <c r="L105" i="13"/>
  <c r="L97" i="13"/>
  <c r="L71" i="13"/>
  <c r="L62" i="13"/>
  <c r="L54" i="13"/>
  <c r="L29" i="13"/>
  <c r="L20" i="13"/>
  <c r="L12" i="13"/>
  <c r="L115" i="13"/>
  <c r="L104" i="13"/>
  <c r="L67" i="13"/>
  <c r="L32" i="13"/>
  <c r="L15" i="13"/>
  <c r="L102" i="13"/>
  <c r="L70" i="13"/>
  <c r="L53" i="13"/>
  <c r="L21" i="13"/>
  <c r="L112" i="13"/>
  <c r="L103" i="13"/>
  <c r="L95" i="13"/>
  <c r="L69" i="13"/>
  <c r="L60" i="13"/>
  <c r="L40" i="13"/>
  <c r="L26" i="13"/>
  <c r="L113" i="13"/>
  <c r="L100" i="13"/>
  <c r="L63" i="13"/>
  <c r="L28" i="13"/>
  <c r="L98" i="13"/>
  <c r="L65" i="13"/>
  <c r="L35" i="13"/>
  <c r="L17" i="13"/>
  <c r="L72" i="13"/>
  <c r="L19" i="13"/>
  <c r="L106" i="13"/>
  <c r="L74" i="13"/>
  <c r="L57" i="13"/>
  <c r="L25" i="13"/>
  <c r="L120" i="13"/>
  <c r="L38" i="13"/>
  <c r="L118" i="13"/>
  <c r="L77" i="13"/>
  <c r="L36" i="13"/>
  <c r="L18" i="13"/>
  <c r="L108" i="13"/>
  <c r="L55" i="13"/>
  <c r="R114" i="13"/>
  <c r="R105" i="13"/>
  <c r="R97" i="13"/>
  <c r="R77" i="13"/>
  <c r="R67" i="13"/>
  <c r="R59" i="13"/>
  <c r="R40" i="13"/>
  <c r="R30" i="13"/>
  <c r="R21" i="13"/>
  <c r="R13" i="13"/>
  <c r="R38" i="13"/>
  <c r="R115" i="13"/>
  <c r="R98" i="13"/>
  <c r="R69" i="13"/>
  <c r="R52" i="13"/>
  <c r="R22" i="13"/>
  <c r="R108" i="13"/>
  <c r="R81" i="13"/>
  <c r="R62" i="13"/>
  <c r="R33" i="13"/>
  <c r="R16" i="13"/>
  <c r="R122" i="13"/>
  <c r="R112" i="13"/>
  <c r="R103" i="13"/>
  <c r="R95" i="13"/>
  <c r="R74" i="13"/>
  <c r="R65" i="13"/>
  <c r="R57" i="13"/>
  <c r="R37" i="13"/>
  <c r="R28" i="13"/>
  <c r="R19" i="13"/>
  <c r="R11" i="13"/>
  <c r="R111" i="13"/>
  <c r="R94" i="13"/>
  <c r="R64" i="13"/>
  <c r="R36" i="13"/>
  <c r="R18" i="13"/>
  <c r="R104" i="13"/>
  <c r="R76" i="13"/>
  <c r="R58" i="13"/>
  <c r="R29" i="13"/>
  <c r="R12" i="13"/>
  <c r="R120" i="13"/>
  <c r="R79" i="13"/>
  <c r="R119" i="13"/>
  <c r="R110" i="13"/>
  <c r="R101" i="13"/>
  <c r="R93" i="13"/>
  <c r="R72" i="13"/>
  <c r="R63" i="13"/>
  <c r="R55" i="13"/>
  <c r="R35" i="13"/>
  <c r="R25" i="13"/>
  <c r="R17" i="13"/>
  <c r="R106" i="13"/>
  <c r="R78" i="13"/>
  <c r="R60" i="13"/>
  <c r="R31" i="13"/>
  <c r="R14" i="13"/>
  <c r="R118" i="13"/>
  <c r="R100" i="13"/>
  <c r="R71" i="13"/>
  <c r="R54" i="13"/>
  <c r="R24" i="13"/>
  <c r="R117" i="13"/>
  <c r="R107" i="13"/>
  <c r="R99" i="13"/>
  <c r="R80" i="13"/>
  <c r="R70" i="13"/>
  <c r="R61" i="13"/>
  <c r="R53" i="13"/>
  <c r="R32" i="13"/>
  <c r="R23" i="13"/>
  <c r="R15" i="13"/>
  <c r="R121" i="13"/>
  <c r="R102" i="13"/>
  <c r="R73" i="13"/>
  <c r="R56" i="13"/>
  <c r="R26" i="13"/>
  <c r="R113" i="13"/>
  <c r="R96" i="13"/>
  <c r="R66" i="13"/>
  <c r="R39" i="13"/>
  <c r="R20" i="13"/>
  <c r="P79" i="13"/>
  <c r="P122" i="13"/>
  <c r="P81" i="13"/>
  <c r="P112" i="13"/>
  <c r="P103" i="13"/>
  <c r="P95" i="13"/>
  <c r="P69" i="13"/>
  <c r="P60" i="13"/>
  <c r="P40" i="13"/>
  <c r="P26" i="13"/>
  <c r="P113" i="13"/>
  <c r="P96" i="13"/>
  <c r="P59" i="13"/>
  <c r="P23" i="13"/>
  <c r="P13" i="13"/>
  <c r="P106" i="13"/>
  <c r="P74" i="13"/>
  <c r="P57" i="13"/>
  <c r="P25" i="13"/>
  <c r="P14" i="13"/>
  <c r="P32" i="13"/>
  <c r="P52" i="13"/>
  <c r="P39" i="13"/>
  <c r="P37" i="13"/>
  <c r="P36" i="13"/>
  <c r="P11" i="13"/>
  <c r="P110" i="13"/>
  <c r="P101" i="13"/>
  <c r="P76" i="13"/>
  <c r="P66" i="13"/>
  <c r="P58" i="13"/>
  <c r="P33" i="13"/>
  <c r="P24" i="13"/>
  <c r="P108" i="13"/>
  <c r="P72" i="13"/>
  <c r="P55" i="13"/>
  <c r="P19" i="13"/>
  <c r="P102" i="13"/>
  <c r="P70" i="13"/>
  <c r="P53" i="13"/>
  <c r="P21" i="13"/>
  <c r="P12" i="13"/>
  <c r="P117" i="13"/>
  <c r="P107" i="13"/>
  <c r="P99" i="13"/>
  <c r="P73" i="13"/>
  <c r="P64" i="13"/>
  <c r="P56" i="13"/>
  <c r="P31" i="13"/>
  <c r="P22" i="13"/>
  <c r="P104" i="13"/>
  <c r="P67" i="13"/>
  <c r="P17" i="13"/>
  <c r="P115" i="13"/>
  <c r="P98" i="13"/>
  <c r="P65" i="13"/>
  <c r="P35" i="13"/>
  <c r="P18" i="13"/>
  <c r="P120" i="13"/>
  <c r="P38" i="13"/>
  <c r="P121" i="13"/>
  <c r="P119" i="13"/>
  <c r="P118" i="13"/>
  <c r="P93" i="13"/>
  <c r="P80" i="13"/>
  <c r="P78" i="13"/>
  <c r="P77" i="13"/>
  <c r="P114" i="13"/>
  <c r="P105" i="13"/>
  <c r="P97" i="13"/>
  <c r="P71" i="13"/>
  <c r="P62" i="13"/>
  <c r="P54" i="13"/>
  <c r="P29" i="13"/>
  <c r="P20" i="13"/>
  <c r="P100" i="13"/>
  <c r="P63" i="13"/>
  <c r="P28" i="13"/>
  <c r="P15" i="13"/>
  <c r="P111" i="13"/>
  <c r="P94" i="13"/>
  <c r="P61" i="13"/>
  <c r="P30" i="13"/>
  <c r="P16" i="13"/>
  <c r="M38" i="13"/>
  <c r="M120" i="13"/>
  <c r="M122" i="13"/>
  <c r="M121" i="13"/>
  <c r="M80" i="13"/>
  <c r="M81" i="13"/>
  <c r="M119" i="13"/>
  <c r="M78" i="13"/>
  <c r="M37" i="13"/>
  <c r="M93" i="13"/>
  <c r="M11" i="13"/>
  <c r="M52" i="13"/>
  <c r="M118" i="13"/>
  <c r="M77" i="13"/>
  <c r="M39" i="13"/>
  <c r="M36" i="13"/>
  <c r="M79" i="13"/>
  <c r="S120" i="13"/>
  <c r="S118" i="13"/>
  <c r="S77" i="13"/>
  <c r="S93" i="13"/>
  <c r="S37" i="13"/>
  <c r="S79" i="13"/>
  <c r="S122" i="13"/>
  <c r="S52" i="13"/>
  <c r="S121" i="13"/>
  <c r="S80" i="13"/>
  <c r="S36" i="13"/>
  <c r="S38" i="13"/>
  <c r="S81" i="13"/>
  <c r="S39" i="13"/>
  <c r="S119" i="13"/>
  <c r="S78" i="13"/>
  <c r="S11" i="13"/>
  <c r="G120" i="13"/>
  <c r="G79" i="13"/>
  <c r="G122" i="13"/>
  <c r="G38" i="13"/>
  <c r="G52" i="13"/>
  <c r="G39" i="13"/>
  <c r="G81" i="13"/>
  <c r="G121" i="13"/>
  <c r="G119" i="13"/>
  <c r="G118" i="13"/>
  <c r="G93" i="13"/>
  <c r="G80" i="13"/>
  <c r="G78" i="13"/>
  <c r="G77" i="13"/>
  <c r="G37" i="13"/>
  <c r="G36" i="13"/>
  <c r="G11" i="13"/>
  <c r="I122" i="13"/>
  <c r="I81" i="13"/>
  <c r="I121" i="13"/>
  <c r="I80" i="13"/>
  <c r="I120" i="13"/>
  <c r="I119" i="13"/>
  <c r="I78" i="13"/>
  <c r="I37" i="13"/>
  <c r="I38" i="13"/>
  <c r="I79" i="13"/>
  <c r="I118" i="13"/>
  <c r="I77" i="13"/>
  <c r="I52" i="13"/>
  <c r="I36" i="13"/>
  <c r="I93" i="13"/>
  <c r="I39" i="13"/>
  <c r="I11" i="13"/>
  <c r="K81" i="13"/>
  <c r="K39" i="13"/>
  <c r="K122" i="13"/>
  <c r="K121" i="13"/>
  <c r="K118" i="13"/>
  <c r="K80" i="13"/>
  <c r="K77" i="13"/>
  <c r="K36" i="13"/>
  <c r="K38" i="13"/>
  <c r="K120" i="13"/>
  <c r="K79" i="13"/>
  <c r="K52" i="13"/>
  <c r="K119" i="13"/>
  <c r="K93" i="13"/>
  <c r="K78" i="13"/>
  <c r="K37" i="13"/>
  <c r="K1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Q123" i="13" l="1"/>
  <c r="Q109" i="13"/>
  <c r="Q116" i="13"/>
  <c r="Q41" i="13"/>
  <c r="Q27" i="13"/>
  <c r="Q34" i="13"/>
  <c r="Q82" i="13"/>
  <c r="Q75" i="13"/>
  <c r="Q68" i="13"/>
  <c r="L75" i="13"/>
  <c r="L109" i="13"/>
  <c r="L82" i="13"/>
  <c r="L34" i="13"/>
  <c r="L123" i="13"/>
  <c r="L116" i="13"/>
  <c r="L68" i="13"/>
  <c r="L41" i="13"/>
  <c r="L27" i="13"/>
  <c r="R41" i="13"/>
  <c r="R109" i="13"/>
  <c r="R27" i="13"/>
  <c r="R82" i="13"/>
  <c r="R68" i="13"/>
  <c r="R116" i="13"/>
  <c r="R34" i="13"/>
  <c r="R75" i="13"/>
  <c r="R123" i="13"/>
  <c r="P109" i="13"/>
  <c r="P123" i="13"/>
  <c r="P116" i="13"/>
  <c r="P75" i="13"/>
  <c r="D120" i="13"/>
  <c r="P34" i="13"/>
  <c r="P27" i="13"/>
  <c r="P68" i="13"/>
  <c r="P47" i="13" s="1"/>
  <c r="P49" i="13" s="1"/>
  <c r="P51" i="13" s="1"/>
  <c r="P41" i="13"/>
  <c r="P82" i="13"/>
  <c r="D79" i="13"/>
  <c r="D38" i="13"/>
  <c r="D122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Q124" i="13" l="1"/>
  <c r="Q88" i="13"/>
  <c r="Q90" i="13" s="1"/>
  <c r="Q47" i="13"/>
  <c r="Q49" i="13" s="1"/>
  <c r="L6" i="13"/>
  <c r="L8" i="13" s="1"/>
  <c r="Q83" i="13"/>
  <c r="Q6" i="13"/>
  <c r="Q8" i="13" s="1"/>
  <c r="L47" i="13"/>
  <c r="L49" i="13" s="1"/>
  <c r="Q42" i="13"/>
  <c r="R124" i="13"/>
  <c r="P83" i="13"/>
  <c r="L42" i="13"/>
  <c r="L83" i="13"/>
  <c r="L88" i="13"/>
  <c r="L90" i="13" s="1"/>
  <c r="R83" i="13"/>
  <c r="L124" i="13"/>
  <c r="P124" i="13"/>
  <c r="R6" i="13"/>
  <c r="R8" i="13" s="1"/>
  <c r="R10" i="13" s="1"/>
  <c r="P88" i="13"/>
  <c r="P90" i="13" s="1"/>
  <c r="P92" i="13" s="1"/>
  <c r="R88" i="13"/>
  <c r="R90" i="13" s="1"/>
  <c r="R92" i="13" s="1"/>
  <c r="R47" i="13"/>
  <c r="R49" i="13" s="1"/>
  <c r="R51" i="13" s="1"/>
  <c r="R42" i="13"/>
  <c r="P6" i="13"/>
  <c r="P8" i="13" s="1"/>
  <c r="P10" i="13" s="1"/>
  <c r="P42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5" i="14"/>
  <c r="S60" i="14"/>
  <c r="S54" i="14"/>
  <c r="S47" i="14"/>
  <c r="S43" i="14"/>
  <c r="S36" i="14"/>
  <c r="S31" i="14"/>
  <c r="S26" i="14"/>
  <c r="S21" i="14"/>
  <c r="S16" i="14"/>
  <c r="S11" i="14"/>
  <c r="S7" i="14"/>
  <c r="S66" i="14"/>
  <c r="S61" i="14"/>
  <c r="S55" i="14"/>
  <c r="S48" i="14"/>
  <c r="S44" i="14"/>
  <c r="S37" i="14"/>
  <c r="S32" i="14"/>
  <c r="S27" i="14"/>
  <c r="S22" i="14"/>
  <c r="S17" i="14"/>
  <c r="S12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68" i="14"/>
  <c r="S64" i="14"/>
  <c r="S57" i="14"/>
  <c r="S52" i="14"/>
  <c r="S46" i="14"/>
  <c r="S41" i="14"/>
  <c r="S35" i="14"/>
  <c r="S29" i="14"/>
  <c r="S25" i="14"/>
  <c r="S20" i="14"/>
  <c r="S14" i="14"/>
  <c r="S10" i="14"/>
  <c r="S6" i="14"/>
  <c r="I88" i="14"/>
  <c r="I74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98" i="14"/>
  <c r="I85" i="14"/>
  <c r="I108" i="14"/>
  <c r="I105" i="14"/>
  <c r="I103" i="14"/>
  <c r="I101" i="14"/>
  <c r="I96" i="14"/>
  <c r="I94" i="14"/>
  <c r="I83" i="14"/>
  <c r="I81" i="14"/>
  <c r="I78" i="14"/>
  <c r="I76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22" i="14"/>
  <c r="I12" i="14"/>
  <c r="I7" i="14"/>
  <c r="I6" i="14"/>
  <c r="I46" i="14"/>
  <c r="I41" i="14"/>
  <c r="I29" i="14"/>
  <c r="I25" i="14"/>
  <c r="I20" i="14"/>
  <c r="I66" i="14"/>
  <c r="I61" i="14"/>
  <c r="I55" i="14"/>
  <c r="I48" i="14"/>
  <c r="I44" i="14"/>
  <c r="I37" i="14"/>
  <c r="I32" i="14"/>
  <c r="I27" i="14"/>
  <c r="I17" i="14"/>
  <c r="I68" i="14"/>
  <c r="I65" i="14"/>
  <c r="I60" i="14"/>
  <c r="I54" i="14"/>
  <c r="I47" i="14"/>
  <c r="I43" i="14"/>
  <c r="I36" i="14"/>
  <c r="I31" i="14"/>
  <c r="I26" i="14"/>
  <c r="I21" i="14"/>
  <c r="I16" i="14"/>
  <c r="I11" i="14"/>
  <c r="I52" i="14"/>
  <c r="I14" i="14"/>
  <c r="I10" i="14"/>
  <c r="I64" i="14"/>
  <c r="I57" i="14"/>
  <c r="I35" i="14"/>
  <c r="G107" i="14"/>
  <c r="G102" i="14"/>
  <c r="G97" i="14"/>
  <c r="G93" i="14"/>
  <c r="G84" i="14"/>
  <c r="G79" i="14"/>
  <c r="G75" i="14"/>
  <c r="G108" i="14"/>
  <c r="G103" i="14"/>
  <c r="G98" i="14"/>
  <c r="G94" i="14"/>
  <c r="G85" i="14"/>
  <c r="G81" i="14"/>
  <c r="G76" i="14"/>
  <c r="G104" i="14"/>
  <c r="G99" i="14"/>
  <c r="G95" i="14"/>
  <c r="G87" i="14"/>
  <c r="G82" i="14"/>
  <c r="G77" i="14"/>
  <c r="G73" i="14"/>
  <c r="G105" i="14"/>
  <c r="G101" i="14"/>
  <c r="G88" i="14"/>
  <c r="G83" i="14"/>
  <c r="G74" i="14"/>
  <c r="G96" i="14"/>
  <c r="G78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G12" i="14"/>
  <c r="G10" i="14"/>
  <c r="G7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31" i="14"/>
  <c r="K21" i="14"/>
  <c r="K67" i="14"/>
  <c r="K62" i="14"/>
  <c r="K56" i="14"/>
  <c r="K50" i="14"/>
  <c r="K45" i="14"/>
  <c r="K40" i="14"/>
  <c r="K34" i="14"/>
  <c r="K28" i="14"/>
  <c r="K24" i="14"/>
  <c r="K18" i="14"/>
  <c r="K13" i="14"/>
  <c r="K8" i="14"/>
  <c r="K26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65" i="14"/>
  <c r="K54" i="14"/>
  <c r="K43" i="14"/>
  <c r="K11" i="14"/>
  <c r="K60" i="14"/>
  <c r="K47" i="14"/>
  <c r="K36" i="14"/>
  <c r="K16" i="14"/>
  <c r="K6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26" i="14"/>
  <c r="E21" i="14"/>
  <c r="E16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S106" i="14" l="1"/>
  <c r="S92" i="14"/>
  <c r="D45" i="14"/>
  <c r="S86" i="14"/>
  <c r="S100" i="14"/>
  <c r="S59" i="14"/>
  <c r="D44" i="14"/>
  <c r="D67" i="14"/>
  <c r="D22" i="14"/>
  <c r="D48" i="14"/>
  <c r="I86" i="14"/>
  <c r="E39" i="14"/>
  <c r="I59" i="14"/>
  <c r="D32" i="14"/>
  <c r="D55" i="14"/>
  <c r="I106" i="14"/>
  <c r="I100" i="14"/>
  <c r="I92" i="14"/>
  <c r="D56" i="14"/>
  <c r="G9" i="14"/>
  <c r="D66" i="14"/>
  <c r="G100" i="14"/>
  <c r="D17" i="14"/>
  <c r="D37" i="14"/>
  <c r="D61" i="14"/>
  <c r="D95" i="14"/>
  <c r="D85" i="14"/>
  <c r="G59" i="14"/>
  <c r="G92" i="14"/>
  <c r="G86" i="14"/>
  <c r="G106" i="14"/>
  <c r="D20" i="14"/>
  <c r="D41" i="14"/>
  <c r="D29" i="14"/>
  <c r="D28" i="14"/>
  <c r="K59" i="14"/>
  <c r="D35" i="14"/>
  <c r="D57" i="14"/>
  <c r="D102" i="14"/>
  <c r="D18" i="14"/>
  <c r="D25" i="14"/>
  <c r="D46" i="14"/>
  <c r="D68" i="14"/>
  <c r="K86" i="14"/>
  <c r="K100" i="14"/>
  <c r="K92" i="14"/>
  <c r="K106" i="14"/>
  <c r="E30" i="14"/>
  <c r="D62" i="14"/>
  <c r="D108" i="14"/>
  <c r="D31" i="14"/>
  <c r="E106" i="14"/>
  <c r="D83" i="14"/>
  <c r="D21" i="14"/>
  <c r="D43" i="14"/>
  <c r="D65" i="14"/>
  <c r="D16" i="14"/>
  <c r="D36" i="14"/>
  <c r="D60" i="14"/>
  <c r="D75" i="14"/>
  <c r="D103" i="14"/>
  <c r="D54" i="14"/>
  <c r="W106" i="14"/>
  <c r="D6" i="14"/>
  <c r="D27" i="14"/>
  <c r="D26" i="14"/>
  <c r="D47" i="14"/>
  <c r="E42" i="14"/>
  <c r="E33" i="14"/>
  <c r="E100" i="14"/>
  <c r="E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<sst xmlns="http://schemas.openxmlformats.org/spreadsheetml/2006/main" count="5157" uniqueCount="2350">
  <si>
    <t>RKP-NAZIV PRORAČUNSKOG KORISNIKA</t>
  </si>
  <si>
    <t>odaberite -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</si>
  <si>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</si>
  <si>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</si>
  <si>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</si>
  <si>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</si>
  <si>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</si>
  <si>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</si>
  <si>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</si>
  <si>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</si>
  <si>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</si>
  <si>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</si>
  <si>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</si>
  <si>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</si>
  <si>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</si>
  <si>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</si>
  <si>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-</t>
  </si>
  <si>
    <t>E-MAIL ZA KONTAKT</t>
  </si>
  <si>
    <t>1222 MINISTARSTVO ZNANOSTI I OBRAZOVANJA</t>
  </si>
  <si>
    <t>MINISTARSTVO ZNANOSTI I OBRAZOVANJA</t>
  </si>
  <si>
    <t>MZO</t>
  </si>
  <si>
    <t>08005</t>
  </si>
  <si>
    <t>1757 SVEUČILIŠTE U ZAGREBU - FAKULTET ELEKTROTEHNIKE I RAČUNARSTVA</t>
  </si>
  <si>
    <t>SVEUČILIŠTE U ZAGREBU - FAKULTET ELEKTROTEHNIKE I RAČUNARSTVA</t>
  </si>
  <si>
    <t>SVEUČILIŠTE U ZAGREBU</t>
  </si>
  <si>
    <t>UNSKA 3</t>
  </si>
  <si>
    <t>10000 ZAGREB</t>
  </si>
  <si>
    <t>57029260362</t>
  </si>
  <si>
    <t>Sveučilišta i veleučilišta u Republici Hrvatskoj</t>
  </si>
  <si>
    <t>08006</t>
  </si>
  <si>
    <t>PRIJEDLOG FINANCIJSKOG PLANA ZA 2021. I PROJEKCIJA PLANA ZA 2022. I 2023. GODINU</t>
  </si>
  <si>
    <t>1781 SVEUČILIŠTE U ZAGREBU - PRIRODOSLOVNO-MATEMATIČKI FAKULTET</t>
  </si>
  <si>
    <t>SVEUČILIŠTE U ZAGREBU - PRIRODOSLOVNO-MATEMATIČKI FAKULTET</t>
  </si>
  <si>
    <t>HORVATOVAC 102A</t>
  </si>
  <si>
    <t>28163265527</t>
  </si>
  <si>
    <t>OPĆI DIO</t>
  </si>
  <si>
    <t>1790 SVEUČILIŠTE U ZAGREBU - FAKULTET KEMIJSKOG INŽENJERSTVA I TEHNOLOGIJE</t>
  </si>
  <si>
    <t>SVEUČILIŠTE U ZAGREBU - FAKULTET KEMIJSKOG INŽENJERSTVA I TEHNOLOGIJE</t>
  </si>
  <si>
    <t>MARULIĆEV TRG 19</t>
  </si>
  <si>
    <t>71259740533</t>
  </si>
  <si>
    <t>1804 SVEUČILIŠTE U ZAGREBU - TEKSTILNO TEHNOLOŠKI FAKULTET</t>
  </si>
  <si>
    <t>SVEUČILIŠTE U ZAGREBU - TEKSTILNO TEHNOLOŠKI FAKULTET</t>
  </si>
  <si>
    <t>PRILAZ BARUNA FILIPOVIĆA 28A</t>
  </si>
  <si>
    <t>43097527965</t>
  </si>
  <si>
    <t>1812 SVEUČILIŠTE U ZAGREBU - FAKULTET PROMETNIH ZNANOSTI</t>
  </si>
  <si>
    <t>SVEUČILIŠTE U ZAGREBU - FAKULTET PROMETNIH ZNANOSTI</t>
  </si>
  <si>
    <t>VUKELIĆEVA 4</t>
  </si>
  <si>
    <t>25410051374</t>
  </si>
  <si>
    <t>Prijedlog plana 
za 2021.</t>
  </si>
  <si>
    <t>Projekcija plana
za 2022.</t>
  </si>
  <si>
    <t>Projekcija plana 
za 2023.</t>
  </si>
  <si>
    <t>1829 SVEUČILIŠTE U ZAGREBU - FAKULTET STROJARSTVA I BRODOGRADNJE</t>
  </si>
  <si>
    <t>SVEUČILIŠTE U ZAGREBU - FAKULTET STROJARSTVA I BRODOGRADNJE</t>
  </si>
  <si>
    <t>IVANA LUČIĆA 5</t>
  </si>
  <si>
    <t>22910368449</t>
  </si>
  <si>
    <t>PRIHODI UKUPNO</t>
  </si>
  <si>
    <t>1837 SVEUČILIŠTE U ZAGREBU - GRAĐEVINSKI FAKULTET</t>
  </si>
  <si>
    <t>SVEUČILIŠTE U ZAGREBU - GRAĐEVINSKI FAKULTET</t>
  </si>
  <si>
    <t>FRA ANDRIJE KAČIĆA MIOŠIĆA 26</t>
  </si>
  <si>
    <t>62924153420</t>
  </si>
  <si>
    <t>PRIHODI POSLOVANJA</t>
  </si>
  <si>
    <t>1845 SVEUČILIŠTE U ZAGREBU - PREHRAMBENO BIOTEHNOLOŠKI FAKULTET</t>
  </si>
  <si>
    <t>SVEUČILIŠTE U ZAGREBU - PREHRAMBENO BIOTEHNOLOŠKI FAKULTET</t>
  </si>
  <si>
    <t>PIEROTTIJEVA 6</t>
  </si>
  <si>
    <t>47824453867</t>
  </si>
  <si>
    <t>PRIHODI OD NEFINANCIJSKE IMOVINE</t>
  </si>
  <si>
    <t>1853 SVEUČILIŠTE U ZAGREBU - GEODETSKI FAKULTET</t>
  </si>
  <si>
    <t>SVEUČILIŠTE U ZAGREBU - GEODETSKI FAKULTET</t>
  </si>
  <si>
    <t>A. KAČIĆA MIOŠIĆA 26</t>
  </si>
  <si>
    <t>43594593297</t>
  </si>
  <si>
    <t>RASHODI UKUPNO</t>
  </si>
  <si>
    <t xml:space="preserve">1861 SVEUČILIŠTE U ZAGREBU - ARHITEKTONSKI FAKULTET </t>
  </si>
  <si>
    <t xml:space="preserve">SVEUČILIŠTE U ZAGREBU - ARHITEKTONSKI FAKULTET </t>
  </si>
  <si>
    <t>KAČIĆEVA 26</t>
  </si>
  <si>
    <t>42061107444</t>
  </si>
  <si>
    <t>RASHODI  POSLOVANJA</t>
  </si>
  <si>
    <t>1870 SVEUČILIŠTE U ZAGREBU - STOMATOLOŠKI FAKULTET</t>
  </si>
  <si>
    <t>SVEUČILIŠTE U ZAGREBU - STOMATOLOŠKI FAKULTET</t>
  </si>
  <si>
    <t>GUNDULIĆEVA 5</t>
  </si>
  <si>
    <t>70221464726</t>
  </si>
  <si>
    <t>RASHODI ZA NEFINANCIJSKU IMOVINU</t>
  </si>
  <si>
    <t>1888 SVEUČILIŠTE U ZAGREBU - MEDICINSKI FAKULTET</t>
  </si>
  <si>
    <t>SVEUČILIŠTE U ZAGREBU - MEDICINSKI FAKULTET</t>
  </si>
  <si>
    <t>ŠALATA 3</t>
  </si>
  <si>
    <t>45001686598</t>
  </si>
  <si>
    <t>RAZLIKA - VIŠAK / MANJAK</t>
  </si>
  <si>
    <t>1896 SVEUČILIŠTE U ZAGREBU - ŠUMARSKI FAKULTET</t>
  </si>
  <si>
    <t>SVEUČILIŠTE U ZAGREBU - ŠUMARSKI FAKULTET</t>
  </si>
  <si>
    <t>SVETOŠIMUNSKA C. 25</t>
  </si>
  <si>
    <t>07699719217</t>
  </si>
  <si>
    <t>1907 SVEUČILIŠTE U ZAGREBU - FAKULTET POLITIČKIH ZNANOSTI</t>
  </si>
  <si>
    <t>SVEUČILIŠTE U ZAGREBU - FAKULTET POLITIČKIH ZNANOSTI</t>
  </si>
  <si>
    <t>LEPUŠIĆEVA 6</t>
  </si>
  <si>
    <t>28011548575</t>
  </si>
  <si>
    <t>1915 SVEUČILIŠTE U ZAGREBU - PRAVNI FAKULTET</t>
  </si>
  <si>
    <t>SVEUČILIŠTE U ZAGREBU - PRAVNI FAKULTET</t>
  </si>
  <si>
    <t>TRG REPUBLIKE HRVATSKE 14</t>
  </si>
  <si>
    <t>38583303160</t>
  </si>
  <si>
    <t>DONOS</t>
  </si>
  <si>
    <t>Ukupan donos neutrošenih prihoda iz prethodne/ih godina</t>
  </si>
  <si>
    <t>1923 SVEUČILIŠTE U ZAGREBU - AGRONOMSKI FAKULTET</t>
  </si>
  <si>
    <t>SVEUČILIŠTE U ZAGREBU - AGRONOMSKI FAKULTET</t>
  </si>
  <si>
    <t>SVETOŠIMUNSKA CESTA 25</t>
  </si>
  <si>
    <t>76023745044</t>
  </si>
  <si>
    <t>ODNOS</t>
  </si>
  <si>
    <t>Ukupan odnos neutrošenih prihoda u sljedeću godinu</t>
  </si>
  <si>
    <t>1931 SVEUČILIŠTE U ZAGREBU - EKONOMSKI FAKULTET</t>
  </si>
  <si>
    <t>SVEUČILIŠTE U ZAGREBU - EKONOMSKI FAKULTET</t>
  </si>
  <si>
    <t>TRG J. F. KENNEDEYA 6</t>
  </si>
  <si>
    <t>27208467122</t>
  </si>
  <si>
    <t>1940 SVEUČILIŠTE U ZAGREBU - UČITELJSKI FAKULTET</t>
  </si>
  <si>
    <t>SVEUČILIŠTE U ZAGREBU - UČITELJSKI FAKULTET</t>
  </si>
  <si>
    <t>SAVSKA CESTA 77</t>
  </si>
  <si>
    <t>72226488129</t>
  </si>
  <si>
    <t>1958 SVEUČILIŠTE U ZAGREBU - FILOZOFSKI FAKULTET</t>
  </si>
  <si>
    <t>SVEUČILIŠTE U ZAGREBU - FILOZOFSKI FAKULTET</t>
  </si>
  <si>
    <t>IVANA LUČIĆA 3</t>
  </si>
  <si>
    <t>90633715804</t>
  </si>
  <si>
    <t>PRIMICI OD FINANCIJSKE IMOVINE I ZADUŽIVANJA</t>
  </si>
  <si>
    <t xml:space="preserve">1966 SVEUČILIŠTE U ZAGREBU - EDUKACIJSKO-REHABILITACIJSKI FAKULTET </t>
  </si>
  <si>
    <t xml:space="preserve">SVEUČILIŠTE U ZAGREBU - EDUKACIJSKO-REHABILITACIJSKI FAKULTET </t>
  </si>
  <si>
    <t>BORONGAJSKA CESTA 83F</t>
  </si>
  <si>
    <t>34967762426</t>
  </si>
  <si>
    <t>IZDACI ZA FINANCIJSKU IMOVINU I OTPLATE ZAJMOVA</t>
  </si>
  <si>
    <t>1974 SVEUČILIŠTE U ZAGREBU - AKADEMIJA DRAMSKE UMJETNOSTI</t>
  </si>
  <si>
    <t>SVEUČILIŠTE U ZAGREBU - AKADEMIJA DRAMSKE UMJETNOSTI</t>
  </si>
  <si>
    <t>TRG REPUBLIKE HRVATSKE 5</t>
  </si>
  <si>
    <t>52097842295</t>
  </si>
  <si>
    <t>NETO FINANCIRANJE</t>
  </si>
  <si>
    <t>1982 SVEUČILIŠTE U ZAGREBU - AKADEMIJA LIKOVNIH UMJETNOSTI</t>
  </si>
  <si>
    <t>SVEUČILIŠTE U ZAGREBU - AKADEMIJA LIKOVNIH UMJETNOSTI</t>
  </si>
  <si>
    <t>ILICA 85</t>
  </si>
  <si>
    <t>95847257607</t>
  </si>
  <si>
    <t>1999 SVEUČILIŠTE U ZAGREBU - MUZIČKA AKADEMIJA</t>
  </si>
  <si>
    <t>SVEUČILIŠTE U ZAGREBU - MUZIČKA AKADEMIJA</t>
  </si>
  <si>
    <t>TRG REPUBLIKE HRVATSKE 12</t>
  </si>
  <si>
    <t>18422925218</t>
  </si>
  <si>
    <t>VIŠAK / MANJAK + DONOS + ODNOS + NETO FINANCIRANJE</t>
  </si>
  <si>
    <t>2006 SVEUČILIŠTE U ZAGREBU - KINEZIOLOŠKI FAKULTET</t>
  </si>
  <si>
    <t>SVEUČILIŠTE U ZAGREBU - KINEZIOLOŠKI FAKULTET</t>
  </si>
  <si>
    <t>HORVAĆANSKI ZAVOJ 15</t>
  </si>
  <si>
    <t>25329931628</t>
  </si>
  <si>
    <t xml:space="preserve">2014 SVEUČILIŠTE U ZAGREBU - FARMACEUTSKO-BIOKEMIJSKI FAKULTET </t>
  </si>
  <si>
    <t xml:space="preserve">SVEUČILIŠTE U ZAGREBU - FARMACEUTSKO-BIOKEMIJSKI FAKULTET </t>
  </si>
  <si>
    <t>ANTE KOVAČIĆA 1</t>
  </si>
  <si>
    <t>14509285435</t>
  </si>
  <si>
    <t>2022 SVEUČILIŠTE U ZAGREBU - VETERINARSKI FAKULTET</t>
  </si>
  <si>
    <t>SVEUČILIŠTE U ZAGREBU - VETERINARSKI FAKULTET</t>
  </si>
  <si>
    <t>HEINZELOVA 55</t>
  </si>
  <si>
    <t>36389528408</t>
  </si>
  <si>
    <t>2047 SVEUČILIŠTE U ZAGREBU - RUDARSKO-GEOLOŠKO-NAFTNI FAKULTET</t>
  </si>
  <si>
    <t>SVEUČILIŠTE U ZAGREBU - RUDARSKO-GEOLOŠKO-NAFTNI FAKULTET</t>
  </si>
  <si>
    <t>99534693762</t>
  </si>
  <si>
    <t>2063 FAKULTET ORGANIZACIJE I INFORMATIKE U VARAŽDINU</t>
  </si>
  <si>
    <t>FAKULTET ORGANIZACIJE I INFORMATIKE U VARAŽDINU</t>
  </si>
  <si>
    <t>PAVLINSKA 2</t>
  </si>
  <si>
    <t>42000 VARAŽDIN</t>
  </si>
  <si>
    <t>02024882310</t>
  </si>
  <si>
    <t>2071 SVEUČILIŠTE U ZAGREBU - METALURŠKI FAKULTET SISAK</t>
  </si>
  <si>
    <t>SVEUČILIŠTE U ZAGREBU - METALURŠKI FAKULTET SISAK</t>
  </si>
  <si>
    <t>ALEJA NARODNIH HEROJA 3</t>
  </si>
  <si>
    <t>44000 SISAK</t>
  </si>
  <si>
    <t>48006703414</t>
  </si>
  <si>
    <t>2080 SVEUČILIŠTE U ZAGREBU - GRAFIČKI FAKULTET</t>
  </si>
  <si>
    <t>SVEUČILIŠTE U ZAGREBU - GRAFIČKI FAKULTET</t>
  </si>
  <si>
    <t>GETALDIĆEVA 2</t>
  </si>
  <si>
    <t>25564990903</t>
  </si>
  <si>
    <t>2102 SVEUČILIŠTE U ZAGREBU - GEOTEHNIČKI FAKULTET</t>
  </si>
  <si>
    <t>SVEUČILIŠTE U ZAGREBU - GEOTEHNIČKI FAKULTET</t>
  </si>
  <si>
    <t>HALLEROVA ALEJA 7</t>
  </si>
  <si>
    <t>16146181375</t>
  </si>
  <si>
    <t xml:space="preserve">2135 SVEUČILIŠTE U ZAGREBU - KATOLIČKI BOGOSLOVNI FAKULTET </t>
  </si>
  <si>
    <t xml:space="preserve">SVEUČILIŠTE U ZAGREBU - KATOLIČKI BOGOSLOVNI FAKULTET </t>
  </si>
  <si>
    <t xml:space="preserve">VLAŠKA 38 </t>
  </si>
  <si>
    <t>2151 SVEUČILIŠTE U RIJECI - TEHNIČKI FAKULTET</t>
  </si>
  <si>
    <t>SVEUČILIŠTE U RIJECI - TEHNIČKI FAKULTET</t>
  </si>
  <si>
    <t>SVEUČILIŠTE U RIJECI</t>
  </si>
  <si>
    <t>VUKOVARSKA 58</t>
  </si>
  <si>
    <t>51000 RIJEKA</t>
  </si>
  <si>
    <t>46319717480</t>
  </si>
  <si>
    <t>2160 SVEUČILIŠTE U RIJECI - GRAĐEVINSKI FAKULTET</t>
  </si>
  <si>
    <t>SVEUČILIŠTE U RIJECI - GRAĐEVINSKI FAKULTET</t>
  </si>
  <si>
    <t>RADMILE MATEJČIĆ 3</t>
  </si>
  <si>
    <t>92037849504</t>
  </si>
  <si>
    <t>2186 SVEUČILIŠTE U RIJECI - EKONOMSKI FAKULTET</t>
  </si>
  <si>
    <t>SVEUČILIŠTE U RIJECI - EKONOMSKI FAKULTET</t>
  </si>
  <si>
    <t>IVANA FILIPOVIĆA 4</t>
  </si>
  <si>
    <t>26093119930</t>
  </si>
  <si>
    <t>2194 SVEUČILIŠTE U RIJECI - FAKULTET ZA MENADŽMENT U TURIZMU I UGOSTITELJSTVU</t>
  </si>
  <si>
    <t>SVEUČILIŠTE U RIJECI - FAKULTET ZA MENADŽMENT U TURIZMU I UGOSTITELJSTVU</t>
  </si>
  <si>
    <t>IKA PRIMORSKA 42</t>
  </si>
  <si>
    <t>51410 OPATIJA</t>
  </si>
  <si>
    <t>85799845149</t>
  </si>
  <si>
    <t>2217 SVEUČILIŠTE U RIJECI - PRAVNI FAKULTET</t>
  </si>
  <si>
    <t>SVEUČILIŠTE U RIJECI - PRAVNI FAKULTET</t>
  </si>
  <si>
    <t>HAHLIĆ 6</t>
  </si>
  <si>
    <t>43767699965</t>
  </si>
  <si>
    <t>2225 SVEUČILIŠTE U RIJECI - MEDICINSKI FAKULTET</t>
  </si>
  <si>
    <t>SVEUČILIŠTE U RIJECI - MEDICINSKI FAKULTET</t>
  </si>
  <si>
    <t>BRAĆE BRANCHETTA 20</t>
  </si>
  <si>
    <t>98164324541</t>
  </si>
  <si>
    <t>2250 SVEUČILIŠTE J.J STROSSMAYERA U OSIJEKU - GRAĐEVINSKI I ARHITEKTONSKI FAKULTET OSIJEK</t>
  </si>
  <si>
    <t>SVEUČILIŠTE J.J STROSSMAYERA U OSIJEKU - GRAĐEVINSKI I ARHITEKTONSKI FAKULTET OSIJEK</t>
  </si>
  <si>
    <t>SVEUČILIŠTE J.J STROSSMAYERA U OSIJEKU</t>
  </si>
  <si>
    <t>ULICA VLADIMIRA PRELOGA 3</t>
  </si>
  <si>
    <t>31000 OSIJEK</t>
  </si>
  <si>
    <t>04150850819</t>
  </si>
  <si>
    <t>2268 SVEUČILIŠTE J.J STROSSMAYERA U OSIJEKU - FAKULTET AGROBIOTEHNIČKIH ZNANOSTI OSIJEK</t>
  </si>
  <si>
    <t>SVEUČILIŠTE J.J STROSSMAYERA U OSIJEKU - FAKULTET AGROBIOTEHNIČKIH ZNANOSTI OSIJEK</t>
  </si>
  <si>
    <t>VLADIMIRA PRELOGA 1</t>
  </si>
  <si>
    <t>98816779821</t>
  </si>
  <si>
    <t>2276 SVEUČILIŠTE J.J STROSSMAYERA U OSIJEKU - PREHRAMBENO TEHNOLOŠKI FAKULTET</t>
  </si>
  <si>
    <t>SVEUČILIŠTE J.J STROSSMAYERA U OSIJEKU - PREHRAMBENO TEHNOLOŠKI FAKULTET</t>
  </si>
  <si>
    <t>FRANJE KUHAČA 20</t>
  </si>
  <si>
    <t>96371000697</t>
  </si>
  <si>
    <t>2284 SVEUČILIŠTE J.J STROSSMAYERA U OSIJEKU - EKONOMSKI FAKULTET</t>
  </si>
  <si>
    <t>SVEUČILIŠTE J.J STROSSMAYERA U OSIJEKU - EKONOMSKI FAKULTET</t>
  </si>
  <si>
    <t>TRG LJUDEVITA GAJA 7</t>
  </si>
  <si>
    <t>52778515544</t>
  </si>
  <si>
    <t>2292 SVEUČILIŠTE J.J STROSSMAYERA U OSIJEKU - PRAVNI FAKULTET</t>
  </si>
  <si>
    <t>SVEUČILIŠTE J.J STROSSMAYERA U OSIJEKU - PRAVNI FAKULTET</t>
  </si>
  <si>
    <t>STJEPANA RADIĆA 13</t>
  </si>
  <si>
    <t xml:space="preserve"> 31000 OSIJEK</t>
  </si>
  <si>
    <t>26416570803</t>
  </si>
  <si>
    <t>2313 SVEUČILIŠTE J.J.STROSSMAYERA U OSIJEKU - FAKULTET ELEKTROTEHNIKE, RAČUNARSTVA I INFORMACIJSKIH TEHNOLOGIJA OSIJEK</t>
  </si>
  <si>
    <t>SVEUČILIŠTE J.J.STROSSMAYERA U OSIJEKU - FAKULTET ELEKTROTEHNIKE, RAČUNARSTVA I INFORMACIJSKIH TEHNOLOGIJA OSIJEK</t>
  </si>
  <si>
    <t>KNEZA TRPIMIRA 2 B</t>
  </si>
  <si>
    <t>95494259952</t>
  </si>
  <si>
    <t>2321 SVEUČILIŠTE J.J STROSSMAYERA U OSIJEKU - FILOZOFSKI FAKULTET</t>
  </si>
  <si>
    <t>SVEUČILIŠTE J.J STROSSMAYERA U OSIJEKU - FILOZOFSKI FAKULTET</t>
  </si>
  <si>
    <t>LORENZA JAGERA 9</t>
  </si>
  <si>
    <t>58868871646</t>
  </si>
  <si>
    <t>2330 SVEUČILIŠTE U SPLITU - FAKULTET ELEKTROTEHNIKE, STROJARSTVA I BRODOGRADNJE</t>
  </si>
  <si>
    <t>SVEUČILIŠTE U SPLITU - FAKULTET ELEKTROTEHNIKE, STROJARSTVA I BRODOGRADNJE</t>
  </si>
  <si>
    <t>SVEUČILIŠTE U SPLITU</t>
  </si>
  <si>
    <t>RUĐERA BOŠKOVIĆA 32</t>
  </si>
  <si>
    <t>21000 SPLIT</t>
  </si>
  <si>
    <t>00857144221</t>
  </si>
  <si>
    <t>2348 SVEUČILIŠTE U SPLITU - FAKULTET GRAĐEVINARSTVA, ARHITEKTURE I GEODEZIJE</t>
  </si>
  <si>
    <t>SVEUČILIŠTE U SPLITU - FAKULTET GRAĐEVINARSTVA, ARHITEKTURE I GEODEZIJE</t>
  </si>
  <si>
    <t>MATICE HRVATSKE 15</t>
  </si>
  <si>
    <t>83615500218</t>
  </si>
  <si>
    <t>2356 SVEUČILIŠTE U SPLITU - KEMIJSKO-TEHNOLOŠKI FAKULTET</t>
  </si>
  <si>
    <t>SVEUČILIŠTE U SPLITU - KEMIJSKO-TEHNOLOŠKI FAKULTET</t>
  </si>
  <si>
    <t>RUĐERA BOŠKOVIĆA 35</t>
  </si>
  <si>
    <t>99401575594</t>
  </si>
  <si>
    <t>2372 SVEUČILIŠTE U SPLITU - EKONOMSKI FAKULTET</t>
  </si>
  <si>
    <t>SVEUČILIŠTE U SPLITU - EKONOMSKI FAKULTET</t>
  </si>
  <si>
    <t>CVITE FISKOVIĆA 5</t>
  </si>
  <si>
    <t>84477684422</t>
  </si>
  <si>
    <t>2397 SVEUČILIŠTE U SPLITU - PRAVNI FAKULTET</t>
  </si>
  <si>
    <t>SVEUČILIŠTE U SPLITU - PRAVNI FAKULTET</t>
  </si>
  <si>
    <t>DOMOVINSKOG RATA 8</t>
  </si>
  <si>
    <t>03541568700</t>
  </si>
  <si>
    <t>2410 SVEUČILIŠTE U SPLITU - PRIRODOSLOVNO - MATEMATIČKI FAKULTET</t>
  </si>
  <si>
    <t>SVEUČILIŠTE U SPLITU - PRIRODOSLOVNO - MATEMATIČKI FAKULTET</t>
  </si>
  <si>
    <t>RUĐERA BOŠKOVIĆA 33</t>
  </si>
  <si>
    <t>20858497843</t>
  </si>
  <si>
    <t>2436 SVEUČILIŠTE U ZAGREBU</t>
  </si>
  <si>
    <t>36612267447</t>
  </si>
  <si>
    <t>2444 SVEUČILIŠTE U RIJECI</t>
  </si>
  <si>
    <t>TRG BRAĆE MAŽURANIĆA 10</t>
  </si>
  <si>
    <t>64218323816</t>
  </si>
  <si>
    <t>2452 SVEUČILIŠTE J.J STROSSMAYERA U OSIJEKU</t>
  </si>
  <si>
    <t>TRG SV. TROJSTVA 3</t>
  </si>
  <si>
    <t>78808975734</t>
  </si>
  <si>
    <t>2469 SVEUČILIŠTE U SPLITU</t>
  </si>
  <si>
    <t>POLJIČKA CESTA 35</t>
  </si>
  <si>
    <t>29845096215</t>
  </si>
  <si>
    <t>2493 SVEUČILIŠTE U RIJECI - SVEUČILIŠNA KNJIŽNICA</t>
  </si>
  <si>
    <t>SVEUČILIŠTE U RIJECI - SVEUČILIŠNA KNJIŽNICA</t>
  </si>
  <si>
    <t xml:space="preserve"> DOLAC 1</t>
  </si>
  <si>
    <t>84122581314</t>
  </si>
  <si>
    <t>2508 SVEUČILIŠTE J.J.STROSSMAYERA U OSIJEKU - GRADSKA I SVEUČILIŠNA KNJIŽNICA</t>
  </si>
  <si>
    <t>SVEUČILIŠTE J.J.STROSSMAYERA U OSIJEKU - GRADSKA I SVEUČILIŠNA KNJIŽNICA</t>
  </si>
  <si>
    <t>EUROPSKA AVENIJA 24</t>
  </si>
  <si>
    <t>46627536930</t>
  </si>
  <si>
    <t>2524 SVEUČILIŠTE U SPLITU - SVEUČILIŠNA KNJIŽNICA</t>
  </si>
  <si>
    <t>SVEUČILIŠTE U SPLITU - SVEUČILIŠNA KNJIŽNICA</t>
  </si>
  <si>
    <t>RUĐERA BOŠKOVIĆA 31</t>
  </si>
  <si>
    <t>40099344720</t>
  </si>
  <si>
    <t>6154 SVEUČILIŠTE U ZAGREBU - FAKULTET FILOZOFIJE I RELIGIJSKIH ZNANOSTI</t>
  </si>
  <si>
    <t>SVEUČILIŠTE U ZAGREBU - FAKULTET FILOZOFIJE I RELIGIJSKIH ZNANOSTI</t>
  </si>
  <si>
    <t>JORDANOVAC 110</t>
  </si>
  <si>
    <t>26975482530</t>
  </si>
  <si>
    <t>21053 VELEUČILIŠTE U KARLOVCU</t>
  </si>
  <si>
    <t>VELEUČILIŠTE U KARLOVCU</t>
  </si>
  <si>
    <t>TRG J. J. STROSSMAYERA 9</t>
  </si>
  <si>
    <t>47000 KARLOVAC</t>
  </si>
  <si>
    <t>62820859976</t>
  </si>
  <si>
    <t>22371 VISOKO GOSPODARSKO UČILIŠTE U KRIŽEVCIMA</t>
  </si>
  <si>
    <t>VISOKO GOSPODARSKO UČILIŠTE U KRIŽEVCIMA</t>
  </si>
  <si>
    <t>MILISLAVA DEMERCA 1</t>
  </si>
  <si>
    <t>48260 KRIŽEVCI</t>
  </si>
  <si>
    <t>75480885018</t>
  </si>
  <si>
    <t>22398 VELEUČILIŠTE U POŽEGI</t>
  </si>
  <si>
    <t>VELEUČILIŠTE U POŽEGI</t>
  </si>
  <si>
    <t>VUKOVARSKA 17</t>
  </si>
  <si>
    <t>34000 POŽEGA</t>
  </si>
  <si>
    <t>14821098391</t>
  </si>
  <si>
    <t>22427 TEHNIČKO VELEUČILIŠTE U ZAGREBU</t>
  </si>
  <si>
    <t>TEHNIČKO VELEUČILIŠTE U ZAGREBU</t>
  </si>
  <si>
    <t>VRBIK 8</t>
  </si>
  <si>
    <t>08814003451</t>
  </si>
  <si>
    <t>22435 SVEUČILIŠTE U SPLITU - FILOZOFSKI FAKULTET</t>
  </si>
  <si>
    <t>SVEUČILIŠTE U SPLITU - FILOZOFSKI FAKULTET</t>
  </si>
  <si>
    <t>98004523293</t>
  </si>
  <si>
    <t>22451 SVEUČILIŠTE U SPLITU - MEDICINSKI FAKULTET</t>
  </si>
  <si>
    <t>SVEUČILIŠTE U SPLITU - MEDICINSKI FAKULTET</t>
  </si>
  <si>
    <t>ŠOLTANSKA 2</t>
  </si>
  <si>
    <t>02879747067</t>
  </si>
  <si>
    <t>22460 SVEUČILIŠTE U SPLITU - POMORSKI FAKULTET</t>
  </si>
  <si>
    <t>SVEUČILIŠTE U SPLITU - POMORSKI FAKULTET</t>
  </si>
  <si>
    <t>RUĐERA BOŠKOVIĆA 37</t>
  </si>
  <si>
    <t>24624257529</t>
  </si>
  <si>
    <t>22478 SVEUČILIŠTE U SPLITU - UMJETNIČKA AKADEMIJA</t>
  </si>
  <si>
    <t>SVEUČILIŠTE U SPLITU - UMJETNIČKA AKADEMIJA</t>
  </si>
  <si>
    <t>ZAGREBAČKA 3</t>
  </si>
  <si>
    <t>38960125358</t>
  </si>
  <si>
    <t>22486 SVEUČILIŠTE J.J STROSSMAYERA U OSIJEKU - FAKULTET ZA ODGOJNE I OBRAZOVNE ZNANOSTI</t>
  </si>
  <si>
    <t>SVEUČILIŠTE J.J STROSSMAYERA U OSIJEKU - FAKULTET ZA ODGOJNE I OBRAZOVNE ZNANOSTI</t>
  </si>
  <si>
    <t>CARA HADRIJANA 10</t>
  </si>
  <si>
    <t>28082679513</t>
  </si>
  <si>
    <t>22494 VELEUČILIŠTE U RIJECI</t>
  </si>
  <si>
    <t>VELEUČILIŠTE U RIJECI</t>
  </si>
  <si>
    <t>TRPIMIROVA 2/V</t>
  </si>
  <si>
    <t>29573709870</t>
  </si>
  <si>
    <t>22568 SVEUČILIŠTE U RIJECI - POMORSKI FAKULTET</t>
  </si>
  <si>
    <t>SVEUČILIŠTE U RIJECI - POMORSKI FAKULTET</t>
  </si>
  <si>
    <t>STUDENTSKA 2</t>
  </si>
  <si>
    <t>76722145702</t>
  </si>
  <si>
    <t>22824 VELEUČILIŠTE U ŠIBENIKU</t>
  </si>
  <si>
    <t>VELEUČILIŠTE U ŠIBENIKU</t>
  </si>
  <si>
    <t>TRG A. HEBRANGA BR. 11</t>
  </si>
  <si>
    <t>22000 ŠIBENIK</t>
  </si>
  <si>
    <t>61727512157</t>
  </si>
  <si>
    <t>22832 ZDRAVSTVENO VELEUČILIŠTE</t>
  </si>
  <si>
    <t>ZDRAVSTVENO VELEUČILIŠTE</t>
  </si>
  <si>
    <t>MLINARSKA CESTA 38</t>
  </si>
  <si>
    <t>50952646228</t>
  </si>
  <si>
    <t>22849 SVEUČILIŠTE J.J STROSSMAYERA U OSIJEKU - MEDICINSKI FAKULTET</t>
  </si>
  <si>
    <t>SVEUČILIŠTE J.J STROSSMAYERA U OSIJEKU - MEDICINSKI FAKULTET</t>
  </si>
  <si>
    <t>HUTTLEROVA 4</t>
  </si>
  <si>
    <t>16214165873</t>
  </si>
  <si>
    <t>22857 SVEUČILIŠTE U RIJECI - FILOZOFSKI FAKULTET</t>
  </si>
  <si>
    <t>SVEUČILIŠTE U RIJECI - FILOZOFSKI FAKULTET</t>
  </si>
  <si>
    <t>SVEUČILIŠNA AVENIJA 4</t>
  </si>
  <si>
    <t>70505505759</t>
  </si>
  <si>
    <t>23368 SVEUČILIŠTE U SPLITU - KATOLIČKI BOGOSLOVNI FAKULTET</t>
  </si>
  <si>
    <t>SVEUČILIŠTE U SPLITU - KATOLIČKI BOGOSLOVNI FAKULTET</t>
  </si>
  <si>
    <t xml:space="preserve">ZRINSKOG FRANKOPANA 19 </t>
  </si>
  <si>
    <t>23815 SVEUČILIŠTE U ZADRU</t>
  </si>
  <si>
    <t>SVEUČILIŠTE U ZADRU</t>
  </si>
  <si>
    <t>MIHOVILA PAVLINOVIĆA 1</t>
  </si>
  <si>
    <t>23000 ZADAR</t>
  </si>
  <si>
    <t>10839679016</t>
  </si>
  <si>
    <t>24141 SVEUČILIŠTE U DUBROVNIKU</t>
  </si>
  <si>
    <t>SVEUČILIŠTE U DUBROVNIKU</t>
  </si>
  <si>
    <t>BRANITELJA DUBROVNIKA 29</t>
  </si>
  <si>
    <t>20000 DUBROVNIK</t>
  </si>
  <si>
    <t>01338491514</t>
  </si>
  <si>
    <t>38438 VELEUČILIŠTE MARKO MARULIĆ U KNINU</t>
  </si>
  <si>
    <t>VELEUČILIŠTE MARKO MARULIĆ U KNINU</t>
  </si>
  <si>
    <t xml:space="preserve">KRALJA PETRA KREŠIMIRA IV 30 </t>
  </si>
  <si>
    <t>22300 KNIN</t>
  </si>
  <si>
    <t>13664089430</t>
  </si>
  <si>
    <t>38446 VELEUČILIŠTE LAVOSLAV RUŽIČKA U VUKOVARU</t>
  </si>
  <si>
    <t>VELEUČILIŠTE LAVOSLAV RUŽIČKA U VUKOVARU</t>
  </si>
  <si>
    <t>ŽUPANIJSKA 50</t>
  </si>
  <si>
    <t>32000 VUKOVAR</t>
  </si>
  <si>
    <t>21720825730</t>
  </si>
  <si>
    <t>38454 SVEUČILIŠTE U RIJECI - AKADEMIJA PRIMJENJENIH UMJETNOSTI</t>
  </si>
  <si>
    <t>SVEUČILIŠTE U RIJECI - AKADEMIJA PRIMJENJENIH UMJETNOSTI</t>
  </si>
  <si>
    <t>SLAVKA KRAUTZEKA 83</t>
  </si>
  <si>
    <t>55704161999</t>
  </si>
  <si>
    <t>38479 SVEUČILIŠTE J.J.STROSSMAYERA U OSIJEKU - KATOLIČKI BOGOSLOVNI FAKULTET U ĐAKOVU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</si>
  <si>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</si>
  <si>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</si>
  <si>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</si>
  <si>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</si>
  <si>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40947 SVEUČILIŠTE U RIJECI - UČITELJSKI FAKULTET</t>
  </si>
  <si>
    <t>SVEUČILIŠTE U RIJECI - UČITELJSKI FAKULTET</t>
  </si>
  <si>
    <t>SVEUČILIŠNA AVENIJA 6</t>
  </si>
  <si>
    <t>96996385705</t>
  </si>
  <si>
    <t>41185 VELEUČILIŠTE NIKOLA TESLA U GOSPIĆU</t>
  </si>
  <si>
    <t>VELEUČILIŠTE NIKOLA TESLA U GOSPIĆU</t>
  </si>
  <si>
    <t>ULICA BANA IVANA KARLOVIĆA 16</t>
  </si>
  <si>
    <t>53000 GOSPIĆ</t>
  </si>
  <si>
    <t>42552392522</t>
  </si>
  <si>
    <t>42024 SVEUČILIŠTE JURJA DOBRILE U PULI</t>
  </si>
  <si>
    <t>SVEUČILIŠTE JURJA DOBRILE U PULI</t>
  </si>
  <si>
    <t>ZAGREBAČKA 30</t>
  </si>
  <si>
    <t>52100 PULA</t>
  </si>
  <si>
    <t>61738073226</t>
  </si>
  <si>
    <t>42993 VISOKA ŠKOLA ZA MENEDŽMENT U TURIZMU I INFORMATICI</t>
  </si>
  <si>
    <t>VISOKA ŠKOLA ZA MENEDŽMENT U TURIZMU I INFORMATICI</t>
  </si>
  <si>
    <t>ULICA MATIJE GUPCA 78</t>
  </si>
  <si>
    <t>33000 VIROVITICA</t>
  </si>
  <si>
    <t>46576407858</t>
  </si>
  <si>
    <t>43749 MEĐIMURSKO VELEUČILIŠTE U ČAKOVCU</t>
  </si>
  <si>
    <t>MEĐIMURSKO VELEUČILIŠTE U ČAKOVCU</t>
  </si>
  <si>
    <t>BANA JOSIPA JELAČIĆA 22/A</t>
  </si>
  <si>
    <t>40000 ČAKOVEC</t>
  </si>
  <si>
    <t>31444990605</t>
  </si>
  <si>
    <t>43773 SVEUČILIŠTE U SPLITU - KINEZIOLOŠKI FAKULTET</t>
  </si>
  <si>
    <t>SVEUČILIŠTE U SPLITU - KINEZIOLOŠKI FAKULTET</t>
  </si>
  <si>
    <t>NIKOLE TESLE 6</t>
  </si>
  <si>
    <t>57848936921</t>
  </si>
  <si>
    <t>48023 SVEUČILIŠTE U RIJECI - FAKULTET ZDRAVSTVENIH STUDIJA U RIJECI</t>
  </si>
  <si>
    <t>SVEUČILIŠTE U RIJECI - FAKULTET ZDRAVSTVENIH STUDIJA U RIJECI</t>
  </si>
  <si>
    <t>VIKTORA CARA EMINA 5</t>
  </si>
  <si>
    <t>04052510</t>
  </si>
  <si>
    <t>19213484918</t>
  </si>
  <si>
    <t>48267 SVEUČILIŠTE SJEVER</t>
  </si>
  <si>
    <t>SVEUČILIŠTE SJEVER</t>
  </si>
  <si>
    <t>TRG DR. ŽARKA DOLINARA 1</t>
  </si>
  <si>
    <t>48000 KOPRIVNICA</t>
  </si>
  <si>
    <t>59624928052</t>
  </si>
  <si>
    <t>49796 SVEUČILIŠTE J.J.STROSSMAYERA U OSIJEKU - FAKULTET ZA DENTALNU MEDICINU I ZDRAVSTVO</t>
  </si>
  <si>
    <t>SVEUČILIŠTE J.J.STROSSMAYERA U OSIJEKU - FAKULTET ZA DENTALNU MEDICINU I ZDRAVSTVO</t>
  </si>
  <si>
    <t>CRKVENA 21</t>
  </si>
  <si>
    <t>83830458507</t>
  </si>
  <si>
    <t>50215 SVEUČILIŠTE J.J.STROSSMAYERA U OSIJEKU - AKADEMIJA ZA UMJETNOST I KULTURU U OSIJEKU</t>
  </si>
  <si>
    <t>SVEUČILIŠTE J.J.STROSSMAYERA U OSIJEKU - AKADEMIJA ZA UMJETNOST I KULTURU U OSIJEKU</t>
  </si>
  <si>
    <t>KRALJA PETRA SVAČIĆA 1/F</t>
  </si>
  <si>
    <t>60277424315</t>
  </si>
  <si>
    <t>50848 VELEUČILIŠTE HRVATSKO ZAGORJE KRAPINA</t>
  </si>
  <si>
    <t>VELEUČILIŠTE HRVATSKO ZAGORJE KRAPINA</t>
  </si>
  <si>
    <t>ŠETALIŠTE HRVATSKOG NARODNOG PREPORODA 6</t>
  </si>
  <si>
    <t>49000 KRAPINA</t>
  </si>
  <si>
    <t>16465214888</t>
  </si>
  <si>
    <t>51191 SVEUČILIŠTE U ZAGREBU - FAKULTET HRVATSKIH STUDIJA</t>
  </si>
  <si>
    <t>SVEUČILIŠTE U ZAGREBU - FAKULTET HRVATSKIH STUDIJA</t>
  </si>
  <si>
    <t>BORONGAJSKA CESTA 83D</t>
  </si>
  <si>
    <t>99454315441</t>
  </si>
  <si>
    <t>51360 SVEUČILIŠTE U SLAVONSKOM BRODU</t>
  </si>
  <si>
    <t>SVEUČILIŠTE U SLAVONSKOM BRODU</t>
  </si>
  <si>
    <t>2900 INSTITUT ZA OCEANOGRAFIJU I RIBARSTVO</t>
  </si>
  <si>
    <t>INSTITUT ZA OCEANOGRAFIJU I RIBARSTVO</t>
  </si>
  <si>
    <t>ŠETALIŠTE I. MEŠTROVIĆA 63</t>
  </si>
  <si>
    <t>86235185568</t>
  </si>
  <si>
    <t>Javni instituti</t>
  </si>
  <si>
    <t>08008</t>
  </si>
  <si>
    <t>2918 EKONOMSKI INSTITUT ZAGREB</t>
  </si>
  <si>
    <t>EKONOMSKI INSTITUT ZAGREB</t>
  </si>
  <si>
    <t>TRG JOHNA KENNEDYA 7</t>
  </si>
  <si>
    <t>70925432731</t>
  </si>
  <si>
    <t>2934 HRVATSKI INSTITUT ZA POVIJEST</t>
  </si>
  <si>
    <t>HRVATSKI INSTITUT ZA POVIJEST</t>
  </si>
  <si>
    <t>OPATIČKA 10</t>
  </si>
  <si>
    <t>23296176633</t>
  </si>
  <si>
    <t>2942 INSTITUT ZA POVIJEST UMJETNOSTI</t>
  </si>
  <si>
    <t>INSTITUT ZA POVIJEST UMJETNOSTI</t>
  </si>
  <si>
    <t>ULICA GRADA VUKOVARA 68</t>
  </si>
  <si>
    <t>59451980348</t>
  </si>
  <si>
    <t>2959 INSTITUT ZA MEDICINSKA ISTRAŽIVANJA I MEDICINU RADA</t>
  </si>
  <si>
    <t>INSTITUT ZA MEDICINSKA ISTRAŽIVANJA I MEDICINU RADA</t>
  </si>
  <si>
    <t>KSAVERSKA CESTA 2</t>
  </si>
  <si>
    <t>30285469659</t>
  </si>
  <si>
    <t>2967 HRVATSKI ŠUMARSKI INSTITUT</t>
  </si>
  <si>
    <t>HRVATSKI ŠUMARSKI INSTITUT</t>
  </si>
  <si>
    <t>CVJETNO NASELJE 41</t>
  </si>
  <si>
    <t>10450 JASTREBARSKO</t>
  </si>
  <si>
    <t>13579392023</t>
  </si>
  <si>
    <t>2975 INSTITUT ZA FIZIKU</t>
  </si>
  <si>
    <t>INSTITUT ZA FIZIKU</t>
  </si>
  <si>
    <t>BIJENIČKA CESTA 46</t>
  </si>
  <si>
    <t>77627408491</t>
  </si>
  <si>
    <t>2983 HRVATSKI VETERINARSKI INSTITUT</t>
  </si>
  <si>
    <t>HRVATSKI VETERINARSKI INSTITUT</t>
  </si>
  <si>
    <t>SAVSKA CESTA 143</t>
  </si>
  <si>
    <t>29059177553</t>
  </si>
  <si>
    <t>2991 POLJOPRIVREDNI INSTITUT OSIJEK</t>
  </si>
  <si>
    <t>POLJOPRIVREDNI INSTITUT OSIJEK</t>
  </si>
  <si>
    <t>JUŽNO PREDGRAĐE 17</t>
  </si>
  <si>
    <t>03665720049</t>
  </si>
  <si>
    <t>3009 INSTITUT ZA MIGRACIJE I NARODNOSTI</t>
  </si>
  <si>
    <t>INSTITUT ZA MIGRACIJE I NARODNOSTI</t>
  </si>
  <si>
    <t>TRG STJEPANA RADIĆA 3</t>
  </si>
  <si>
    <t>80265403319</t>
  </si>
  <si>
    <t>3025 INSTITUT ZA JADRANSKE KULTURE I MELIORACIJU KRŠA</t>
  </si>
  <si>
    <t>INSTITUT ZA JADRANSKE KULTURE I MELIORACIJU KRŠA</t>
  </si>
  <si>
    <t>PUT DUILOVA 11</t>
  </si>
  <si>
    <t>90884993104</t>
  </si>
  <si>
    <t>3041 INSTITUT RUĐER BOŠKOVIĆ</t>
  </si>
  <si>
    <t>INSTITUT RUĐER BOŠKOVIĆ</t>
  </si>
  <si>
    <t>69715301002</t>
  </si>
  <si>
    <t>3050 INSTITUT ZA DRUŠTVENA ISTRAŽIVANJA</t>
  </si>
  <si>
    <t>INSTITUT ZA DRUŠTVENA ISTRAŽIVANJA</t>
  </si>
  <si>
    <t>AMRUŠEVA 11</t>
  </si>
  <si>
    <t>11986338639</t>
  </si>
  <si>
    <t>3068 INSTITUT ZA TURIZAM</t>
  </si>
  <si>
    <t>INSTITUT ZA TURIZAM</t>
  </si>
  <si>
    <t>VRHOVEC 5</t>
  </si>
  <si>
    <t>10264179101</t>
  </si>
  <si>
    <t>3076 INSTITUT ZA POLJOPRIVREDU I TURIZAM</t>
  </si>
  <si>
    <t>INSTITUT ZA POLJOPRIVREDU I TURIZAM</t>
  </si>
  <si>
    <t>CARLA HUGUESA 8</t>
  </si>
  <si>
    <t>52440 POREČ</t>
  </si>
  <si>
    <t>03850982961</t>
  </si>
  <si>
    <t>3084 INSTITUT ZA ETNOLOGIJU I FOLKLORISTIKU</t>
  </si>
  <si>
    <t>INSTITUT ZA ETNOLOGIJU I FOLKLORISTIKU</t>
  </si>
  <si>
    <t>ŠUBIĆEVA 42</t>
  </si>
  <si>
    <t>37781872772</t>
  </si>
  <si>
    <t>3092 INSTITUT ZA FILOZOFIJU</t>
  </si>
  <si>
    <t>INSTITUT ZA FILOZOFIJU</t>
  </si>
  <si>
    <t>UL. GRADA VUKOVARA 54</t>
  </si>
  <si>
    <t>43667021597</t>
  </si>
  <si>
    <t>3105 INSTITUT DRUŠTVENIH ZNANOSTI IVO PILAR</t>
  </si>
  <si>
    <t>INSTITUT DRUŠTVENIH ZNANOSTI IVO PILAR</t>
  </si>
  <si>
    <t>MARULIĆEV TRG 19/I</t>
  </si>
  <si>
    <t>32840574937</t>
  </si>
  <si>
    <t>3113 INSTITUT ZA ANTROPOLOGIJU</t>
  </si>
  <si>
    <t>INSTITUT ZA ANTROPOLOGIJU</t>
  </si>
  <si>
    <t>LJUDEVITA GAJA 32</t>
  </si>
  <si>
    <t>93710699926</t>
  </si>
  <si>
    <t>3121 INSTITUT ZA ARHEOLOGIJU</t>
  </si>
  <si>
    <t>INSTITUT ZA ARHEOLOGIJU</t>
  </si>
  <si>
    <t>59796264563</t>
  </si>
  <si>
    <t>21061 INSTITUT ZA HRVATSKI JEZIK I JEZIKOSLOVLJE</t>
  </si>
  <si>
    <t>INSTITUT ZA HRVATSKI JEZIK I JEZIKOSLOVLJE</t>
  </si>
  <si>
    <t>REPUBLIKE AUSTRIJE 16</t>
  </si>
  <si>
    <t>12268324202</t>
  </si>
  <si>
    <t>21070 STAROSLAVENSKI INSTITUT</t>
  </si>
  <si>
    <t>STAROSLAVENSKI INSTITUT</t>
  </si>
  <si>
    <t>DEMETROVA 11</t>
  </si>
  <si>
    <t>15291942541</t>
  </si>
  <si>
    <t xml:space="preserve">22525 HRVATSKI GEOLOŠKI INSTITUT </t>
  </si>
  <si>
    <t xml:space="preserve">HRVATSKI GEOLOŠKI INSTITUT </t>
  </si>
  <si>
    <t>SACHSOVA 2</t>
  </si>
  <si>
    <t>43733878539</t>
  </si>
  <si>
    <t>22621 INSTITUT ZA RAZVOJ I MEĐUNARODNE ODNOSE</t>
  </si>
  <si>
    <t>INSTITUT ZA RAZVOJ I MEĐUNARODNE ODNOSE</t>
  </si>
  <si>
    <t>LJ. F. VUKOTINOVIĆA 2</t>
  </si>
  <si>
    <t>31120185175</t>
  </si>
  <si>
    <t>23286 INSTITUT ZA JAVNE FINANCIJE</t>
  </si>
  <si>
    <t>INSTITUT ZA JAVNE FINANCIJE</t>
  </si>
  <si>
    <t>SMIČIKLASOVA 21</t>
  </si>
  <si>
    <t>41683226810</t>
  </si>
  <si>
    <t>6179 DRŽAVNI ZAVOD ZA INTELEKTUALNO VLASNIŠTVO</t>
  </si>
  <si>
    <t>DRŽAVNI ZAVOD ZA INTELEKTUALNO VLASNIŠTVO</t>
  </si>
  <si>
    <t>ULICA GRADA VUKOVARA 78</t>
  </si>
  <si>
    <t>89755384389</t>
  </si>
  <si>
    <t>DZIV</t>
  </si>
  <si>
    <t>08012</t>
  </si>
  <si>
    <t>21836 NACIONALNA I SVEUČILIŠNA KNJIŽNICA U ZAGREBU</t>
  </si>
  <si>
    <t>NACIONALNA I SVEUČILIŠNA KNJIŽNICA U ZAGREBU</t>
  </si>
  <si>
    <t>HRVATSKE BRATSKE ZAJEDNICE 4</t>
  </si>
  <si>
    <t>84838770814</t>
  </si>
  <si>
    <t>Agencije</t>
  </si>
  <si>
    <t>08091</t>
  </si>
  <si>
    <t>21852 HRVATSKA AKADEMSKA I ISTRAŽIVAČKA MREŽA - CARNET</t>
  </si>
  <si>
    <t>HRVATSKA AKADEMSKA I ISTRAŽIVAČKA MREŽA - CARNET</t>
  </si>
  <si>
    <t>JOSIPA MAROHNIĆA 5</t>
  </si>
  <si>
    <t>58101996540</t>
  </si>
  <si>
    <t>21869 LEKSIKOGRAFSKI ZAVOD MIROSLAV KRLEŽA</t>
  </si>
  <si>
    <t>LEKSIKOGRAFSKI ZAVOD MIROSLAV KRLEŽA</t>
  </si>
  <si>
    <t>FRANKOPANSKA 26</t>
  </si>
  <si>
    <t>49894241709</t>
  </si>
  <si>
    <t>23665 SVEUČILIŠTE U ZAGREBU - SVEUČILIŠNI RAČUNSKI CENTAR - SRCE</t>
  </si>
  <si>
    <t>SVEUČILIŠTE U ZAGREBU - SVEUČILIŠNI RAČUNSKI CENTAR - SRCE</t>
  </si>
  <si>
    <t>34016189309</t>
  </si>
  <si>
    <t>23962 AGENCIJA ZA ODGOJ I OBRAZOVANJE</t>
  </si>
  <si>
    <t>AGENCIJA ZA ODGOJ I OBRAZOVANJE</t>
  </si>
  <si>
    <t>DONJE SVETICE 38</t>
  </si>
  <si>
    <t>72193628411</t>
  </si>
  <si>
    <t>38487 AGENCIJA ZA ZNANOST I VISOKO OBRAZOVANJE</t>
  </si>
  <si>
    <t>AGENCIJA ZA ZNANOST I VISOKO OBRAZOVANJE</t>
  </si>
  <si>
    <t>DONJE SVETICE 38/5</t>
  </si>
  <si>
    <t>83358955356</t>
  </si>
  <si>
    <t>40883 NACIONALNI CENTAR ZA VANJSKO VREDNOVANJE OBRAZOVANJA</t>
  </si>
  <si>
    <t>NACIONALNI CENTAR ZA VANJSKO VREDNOVANJE OBRAZOVANJA</t>
  </si>
  <si>
    <t>PETRAČIĆEVA 4</t>
  </si>
  <si>
    <t>94833993984</t>
  </si>
  <si>
    <t>43335 AGENCIJA ZA MOBILNOST I PROGRAME EUROPSKE UNIJE</t>
  </si>
  <si>
    <t>AGENCIJA ZA MOBILNOST I PROGRAME EUROPSKE UNIJE</t>
  </si>
  <si>
    <t>25385906011</t>
  </si>
  <si>
    <t>46173 AGENCIJA ZA STRUKOVNO OBRAZOVANJE I OBRAZOVANJE ODRASLIH</t>
  </si>
  <si>
    <t>AGENCIJA ZA STRUKOVNO OBRAZOVANJE I OBRAZOVANJE ODRASLIH</t>
  </si>
  <si>
    <t>RADNIČKA CESTA 37B</t>
  </si>
  <si>
    <t>40719411729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</si>
  <si>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</si>
  <si>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</si>
  <si>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</si>
  <si>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</si>
  <si>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</si>
  <si>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</si>
  <si>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</si>
  <si>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</si>
  <si>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</si>
  <si>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</si>
  <si>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</si>
  <si>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</si>
  <si>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</si>
  <si>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</si>
  <si>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</si>
  <si>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</si>
  <si>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</si>
  <si>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</si>
  <si>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</si>
  <si>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</si>
  <si>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</si>
  <si>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</si>
  <si>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</si>
  <si>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</si>
  <si>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</si>
  <si>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</si>
  <si>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</si>
  <si>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</si>
  <si>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</si>
  <si>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</si>
  <si>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Švicarski instrument</t>
  </si>
  <si>
    <t>Tekuće pomoći od inozemnih vlada izvan EU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</si>
  <si>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</si>
  <si>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</si>
  <si>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</si>
  <si>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</si>
  <si>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</si>
  <si>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</si>
  <si>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</si>
  <si>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</si>
  <si>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</si>
  <si>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</si>
  <si>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</t>
  </si>
  <si>
    <t>Tekuće pomoći od institucija i tijela EU – ostale refundacije</t>
  </si>
  <si>
    <t>Donacije</t>
  </si>
  <si>
    <t>Tekuće pomoći od institucija i tijela EU – Instrumenti europskog gospodarskog prostora</t>
  </si>
  <si>
    <t>Prihodi od nefin. imovine i nadoknade štete s osnova osig.</t>
  </si>
  <si>
    <t>Tek.pom.od instit. tijela EU - fondovi za unutarnje poslove</t>
  </si>
  <si>
    <t>Namjenski primici od zaduživanja</t>
  </si>
  <si>
    <t>Tekuće pomoći od institucija i tijela EU - Fond solidarnosti EU</t>
  </si>
  <si>
    <t>Fond solidarnosti EU</t>
  </si>
  <si>
    <t>Namjenski primici od inozemnog zaduživanja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</si>
  <si>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</si>
  <si>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</si>
  <si>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</si>
  <si>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</si>
  <si>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</si>
  <si>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</si>
  <si>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</si>
  <si>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Kapitalne pomoći od institucija i tijela EU - Fond solidarnosti EU</t>
  </si>
  <si>
    <t>Kapitalne pomoći od institucija i tijela EU - ostalo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</si>
  <si>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</si>
  <si>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</si>
  <si>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</si>
  <si>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</si>
  <si>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</si>
  <si>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</si>
  <si>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</si>
  <si>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</si>
  <si>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</si>
  <si>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</si>
  <si>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</si>
  <si>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</si>
  <si>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</si>
  <si>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</si>
  <si>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</si>
  <si>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</si>
  <si>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</si>
  <si>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</si>
  <si>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</si>
  <si>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</si>
  <si>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</si>
  <si>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</si>
  <si>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</si>
  <si>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</si>
  <si>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</si>
  <si>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</si>
  <si>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</si>
  <si>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</si>
  <si>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</si>
  <si>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</si>
  <si>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</si>
  <si>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</si>
  <si>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</si>
  <si>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</si>
  <si>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</si>
  <si>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</si>
  <si>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</si>
  <si>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</si>
  <si>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</si>
  <si>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</si>
  <si>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</si>
  <si>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</si>
  <si>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</si>
  <si>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</si>
  <si>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</si>
  <si>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</si>
  <si>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</si>
  <si>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</si>
  <si>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</si>
  <si>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</si>
  <si>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</si>
  <si>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</si>
  <si>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</si>
  <si>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</si>
  <si>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</si>
  <si>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</si>
  <si>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</si>
  <si>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</si>
  <si>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</si>
  <si>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</si>
  <si>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</si>
  <si>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</si>
  <si>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</si>
  <si>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</si>
  <si>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</si>
  <si>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Osnovno stado izvor 71</t>
  </si>
  <si>
    <t>Povrat zajmova danih neprofitnim organizacijama, građanima i kućanstvima - namjenski</t>
  </si>
  <si>
    <t xml:space="preserve">Namjenski primici od zaduživanja 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</si>
  <si>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</si>
  <si>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</si>
  <si>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</si>
  <si>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Predujam za 2.projekt tehnologijskog razvoja IBRD P4640</t>
  </si>
  <si>
    <t>2.projekt tehnologijskog razvoja IBRD 82580</t>
  </si>
  <si>
    <t>Primljeni krediti od kreditnih institucija u javnom sektoru - dugoročni - namjenski</t>
  </si>
  <si>
    <t>Europski fond za regionalni razvoj (EFRR)</t>
  </si>
  <si>
    <t>Plan za unos u SAP - rashodi</t>
  </si>
  <si>
    <t>IZVOR
(odaberite)</t>
  </si>
  <si>
    <t>AKTIVNOST
(odaberite)</t>
  </si>
  <si>
    <t>OPIS AKTIVNOSTI</t>
  </si>
  <si>
    <t>Plaće za redovan rad</t>
  </si>
  <si>
    <t>AKTIVNOST</t>
  </si>
  <si>
    <t>Plaće u naravi</t>
  </si>
  <si>
    <t>NOVA AKT</t>
  </si>
  <si>
    <t>Plaće za prekovremeni rad</t>
  </si>
  <si>
    <t>A577000</t>
  </si>
  <si>
    <t>ADMINISTRACIJA I UPRAVLJANJE</t>
  </si>
  <si>
    <t>Plaće za posebne uvjete rada</t>
  </si>
  <si>
    <t>A577004</t>
  </si>
  <si>
    <t>PROVEDBA KURIKULARNE REFORME</t>
  </si>
  <si>
    <t>Ostali rashodi za zaposlene</t>
  </si>
  <si>
    <t>A577028</t>
  </si>
  <si>
    <t>POTICAJI HRVATSKOJ ZAJEDNICI TEHNIČKE KULTURE</t>
  </si>
  <si>
    <t>Doprinosi za obvezno zdravstveno osiguranje</t>
  </si>
  <si>
    <t>A577124</t>
  </si>
  <si>
    <t>HRVATSKA NASTAVA U INOZEMSTVU</t>
  </si>
  <si>
    <t>Službena putovanja</t>
  </si>
  <si>
    <t>A577130</t>
  </si>
  <si>
    <t>POTICAJI UDRUGAMA ZA IZVANINSTITUCIONALNI ODGOJ I OBRAZOVANJE DJECE I MLADIH</t>
  </si>
  <si>
    <t>Naknade za prijevoz, za rad na terenu i odvojeni život</t>
  </si>
  <si>
    <t>A577132</t>
  </si>
  <si>
    <t>POTICANJE MEĐUNARODNE OBRAZOVNE SURADNJE ŠKOLA</t>
  </si>
  <si>
    <t>Stručno usavršavanje zaposlenika</t>
  </si>
  <si>
    <t>A578041</t>
  </si>
  <si>
    <t>POMOĆNICI U NASTAVI ZA DJECU S TEŠKOĆAMA U RAZVOJU</t>
  </si>
  <si>
    <t>Ostale naknade troškova zaposlenima</t>
  </si>
  <si>
    <t>A578062</t>
  </si>
  <si>
    <t>ERASMUS+ SOCIJALNA I MEĐUNARODNA DIMENZIJA OBRAZOVANJA I PRIZNAVANJA PRETHODNOG UČENJA - SIDERAL</t>
  </si>
  <si>
    <t>Uredski materijal i ostali materijalni rashodi</t>
  </si>
  <si>
    <t>A578065</t>
  </si>
  <si>
    <t>ERASMUS+ PROJEKT BAQUAL - BOLJE AKADEMSKE KVALIFIKACIJE KROZ OSIGURAVANJE KVALITETE</t>
  </si>
  <si>
    <t>Materijal i sirovine</t>
  </si>
  <si>
    <t>A579069</t>
  </si>
  <si>
    <t>RAZVOJ PREDŠKOLSKOG I OSNOVNOŠKOLSKOG SUSTAVA ODGOJA I OBRAZOVANJA</t>
  </si>
  <si>
    <t>Energija</t>
  </si>
  <si>
    <t>A580014</t>
  </si>
  <si>
    <t>RAZVOJ SUSTAVA OBRAZOVANJA ODRASLIH</t>
  </si>
  <si>
    <t>Materijal i dijelovi za tekuće i investicijsko održavanje</t>
  </si>
  <si>
    <t>A580044</t>
  </si>
  <si>
    <t>RAZVOJ SUSTAVA SREDNJOŠKOLSKOG ODGOJA I OBRAZOVANJA</t>
  </si>
  <si>
    <t>Sitni inventar i auto gume</t>
  </si>
  <si>
    <t>A676057</t>
  </si>
  <si>
    <t>MODERNIZACIJA STRUKOVNIH PROGRAMA OBRAZOVANJA I OSPOSOBLJAVANJA - ŠVICARSKO-HRVATSKI PROGRAM SURADNJE</t>
  </si>
  <si>
    <t>Vojna sredstva za jednokratnu upotrebu</t>
  </si>
  <si>
    <t>A676059</t>
  </si>
  <si>
    <t>OBZOR 2020. - EUROPSKA NOĆ ISTRAŽIVAČA</t>
  </si>
  <si>
    <t>Službena, radna i zaštitna odjeća i obuća</t>
  </si>
  <si>
    <t>A679047</t>
  </si>
  <si>
    <t>MEĐUNARODNA SURADNJA I EUROPSKI POSLOVI</t>
  </si>
  <si>
    <t>Usluge telefona, pošte i prijevoza</t>
  </si>
  <si>
    <t>A733050</t>
  </si>
  <si>
    <t>PRAĆENJE I IMPLEMENTACIJA POLITIKA EUROPSKOG ISTRAŽIVAČKOG PROSTORA (ERA)</t>
  </si>
  <si>
    <t>Usluge tekućeg i investicijskog održavanja</t>
  </si>
  <si>
    <t>A733051</t>
  </si>
  <si>
    <t>PROGRAMI IZRADE UDŽBENIKA ZA SLIJEPE I SLABOVIDNE UČENIKE I STUDENTE</t>
  </si>
  <si>
    <t>Usluge promidžbe i informiranja</t>
  </si>
  <si>
    <t>A733052</t>
  </si>
  <si>
    <t>DALJNJE UNAPREĐENJE SUSTAVA ZA RAZVOJ I PROVEDBU NACIONALNOGA KVALIFIKACIJSKOG OKVIRA (NKO)</t>
  </si>
  <si>
    <t>Komunalne usluge</t>
  </si>
  <si>
    <t>A733055</t>
  </si>
  <si>
    <t>PROGRAM IZVRSNOSTI U VISOKOM OBRAZOVANJU - TENURE-TRACK</t>
  </si>
  <si>
    <t>Zakupnine i najamnine</t>
  </si>
  <si>
    <t>A733056</t>
  </si>
  <si>
    <t>EUROPSKI ZNANSTVENI PROJEKTI</t>
  </si>
  <si>
    <t>Zdravstvene i veterinarske usluge</t>
  </si>
  <si>
    <t>A733063</t>
  </si>
  <si>
    <t>ERASMUS+ KORIŠTENJE PODATAKA S CILJEM UNAPRJEĐENJA KVALITETE U SUSTAVU ODGOJA I OBRAZOVANJA - DATA DRIVE</t>
  </si>
  <si>
    <t>Intelektualne i osobne usluge</t>
  </si>
  <si>
    <t>A767013</t>
  </si>
  <si>
    <t>RAZVOJ SUSTAVA OSIGURANJA KVALITETE</t>
  </si>
  <si>
    <t>Računalne usluge</t>
  </si>
  <si>
    <t>A767029</t>
  </si>
  <si>
    <t>DRUGI PROJEKT TEHNOLOGIJSKOG RAZVOJA</t>
  </si>
  <si>
    <t>Ostale usluge</t>
  </si>
  <si>
    <t>A767035</t>
  </si>
  <si>
    <t>MEĐUNARODNA SURADNJA</t>
  </si>
  <si>
    <t>Naknade troškova osobama izvan radnog odnosa</t>
  </si>
  <si>
    <t>A767038</t>
  </si>
  <si>
    <t>OBZOR 2020. - PROGRAM MEĐUNARODNE MOBILNOSTI ZA ISTRAŽIVAČE - NEWFELPRO</t>
  </si>
  <si>
    <t>Naknade za rad predstavničkih i izvršnih tijela, povjerensta</t>
  </si>
  <si>
    <t>A767042</t>
  </si>
  <si>
    <t>OBRAZOVANJE OSOBA BEZ HRVATSKOG DRŽAVLJANSTVA</t>
  </si>
  <si>
    <t>Premije osiguranja</t>
  </si>
  <si>
    <t>A767043</t>
  </si>
  <si>
    <t>RAZVOJ VISOKOG OBRAZOVANJA</t>
  </si>
  <si>
    <t>Reprezentacija</t>
  </si>
  <si>
    <t>A768056</t>
  </si>
  <si>
    <t>SUDJELOVANJE U INTEREG PROJEKTU - RESINFRA</t>
  </si>
  <si>
    <t xml:space="preserve">  Reprezentacija</t>
  </si>
  <si>
    <t>A768061</t>
  </si>
  <si>
    <t>ERASMUS+ UČINKOVITO PARTNERSTVO ZA UNAPRIJEĐENO PRIZNAVANJE - EPER</t>
  </si>
  <si>
    <t>Članarine i norme</t>
  </si>
  <si>
    <t>A818034</t>
  </si>
  <si>
    <t>PROJEKT POVEZIVANJA S EUROPSKIM KVALIFIKACIJSKIM OKVIROM - EQF NCP GRANT</t>
  </si>
  <si>
    <t>Pristojbe i naknade</t>
  </si>
  <si>
    <t>K578051</t>
  </si>
  <si>
    <t>OP KONKURENTNOST I KOHEZIJA 2014.-2020., PRIORITET 1, 9 i 10</t>
  </si>
  <si>
    <t>Troškovi sudskih postupaka</t>
  </si>
  <si>
    <t>K767032</t>
  </si>
  <si>
    <t>OBRTNIČKA ŠKOLA SISAK</t>
  </si>
  <si>
    <t>Ostali nespomenuti rashodi poslovanja</t>
  </si>
  <si>
    <t>K818050</t>
  </si>
  <si>
    <t>OP UČINKOVITI LJUDSKI POTENCIJALI 2014.-2020., PRIORITET 3</t>
  </si>
  <si>
    <t>Kamate za izdane trezorske zapise</t>
  </si>
  <si>
    <t>T733059</t>
  </si>
  <si>
    <t>PREDSJEDANJE REPUBLIKE HRVATSKE EUROPSKOM UNIJOM</t>
  </si>
  <si>
    <t>Kamate za primljene kredite i zajmove od kreditnih i ostalih</t>
  </si>
  <si>
    <t>A767056</t>
  </si>
  <si>
    <t>OBZOR 2020. - PARTNERSTVO ZA ISTRAŽIVANJA I INOVACIJE NA MEDITERANSKOM PODRUČJU - PRIMA</t>
  </si>
  <si>
    <t>A768064</t>
  </si>
  <si>
    <t xml:space="preserve">ERASMUS+ TRACER </t>
  </si>
  <si>
    <t>Kamate za primljene zajmove od trgovačkih društava i obrtnik</t>
  </si>
  <si>
    <t>A621001</t>
  </si>
  <si>
    <t>REDOVNA DJELATNOST SVEUČILIŠTA U ZAGREBU</t>
  </si>
  <si>
    <t>Bankarske usluge i usluge platnog prometa</t>
  </si>
  <si>
    <t>A621002</t>
  </si>
  <si>
    <t>REDOVNA DJELATNOST SVEUČILIŠTA U RIJECI</t>
  </si>
  <si>
    <t>Negativne tečajne razlike i razlike zbog primjene valutne kl</t>
  </si>
  <si>
    <t>A621003</t>
  </si>
  <si>
    <t>REDOVNA DJELATNOST SVEUČILIŠTA U OSIJEKU</t>
  </si>
  <si>
    <t>Zatezne kamate</t>
  </si>
  <si>
    <t>A621004</t>
  </si>
  <si>
    <t>REDOVNA DJELATNOST SVEUČILIŠTA U SPLITU</t>
  </si>
  <si>
    <t>Ostali nespomenuti financijski rashodi</t>
  </si>
  <si>
    <t>A621038</t>
  </si>
  <si>
    <t>PROGRAMI VJEŽBAONICA VISOKIH UČILIŠTA</t>
  </si>
  <si>
    <t>Subvencije kreditnim i ostalim financijskim institucijama u</t>
  </si>
  <si>
    <t>A621074</t>
  </si>
  <si>
    <t>REDOVNA DJELATNOST SVEUČILIŠTA U ZADRU</t>
  </si>
  <si>
    <t>Subvencije trgovačkim društvima u javnom sektoru</t>
  </si>
  <si>
    <t>A621138</t>
  </si>
  <si>
    <t>REDOVNA DJELATNOST SVEUČILIŠTA U DUBROVNIKU</t>
  </si>
  <si>
    <t>Subvencije trgovačkim društvima izvan javnog sektora</t>
  </si>
  <si>
    <t>A621148</t>
  </si>
  <si>
    <t>REDOVNA DJELATNOST VELEUČILIŠTA I VISOKIH ŠKOLA</t>
  </si>
  <si>
    <t>Subvencije trgovačkim društvima, zadrugama, poljoprivrednici</t>
  </si>
  <si>
    <t>A621168</t>
  </si>
  <si>
    <t>REDOVNA DJELATNOST SVEUČILIŠTA U PULI</t>
  </si>
  <si>
    <t>Tekuće pomoći inozemnim vladama</t>
  </si>
  <si>
    <t>A621180</t>
  </si>
  <si>
    <t>REKTORSKI ZBOR</t>
  </si>
  <si>
    <t>Tekuće pomoći međunarodnim organizacijama te institucijama i</t>
  </si>
  <si>
    <t>A621183</t>
  </si>
  <si>
    <t>STIPENDIJE I ŠKOLARINE ZA DOKTORSKI STUDIJ</t>
  </si>
  <si>
    <t>Tekuće pomoći unutar općeg proračuna</t>
  </si>
  <si>
    <t>A622012</t>
  </si>
  <si>
    <t>REDOVNA DJELATNOST SEIZMOLOŠKE SLUŽBE</t>
  </si>
  <si>
    <t>Kapitalne pomoći unutar općeg proračuna</t>
  </si>
  <si>
    <t>A622122</t>
  </si>
  <si>
    <t>PROGRAMSKO FINANCIRANJE JAVNIH VISOKIH UČILIŠTA</t>
  </si>
  <si>
    <t>Tekuće pomoći proračunskim korisnicima drugih proračuna</t>
  </si>
  <si>
    <t>A679079</t>
  </si>
  <si>
    <t>SVEUČILIŠTE U ZAGREBU - BICRO BIOCentar</t>
  </si>
  <si>
    <t>Kapitalne pomoći proračunskim korisnicima drugih proračuna</t>
  </si>
  <si>
    <t>A679080</t>
  </si>
  <si>
    <t>REDOVNA DJELATNOST SVEUČILIŠTA SJEVER</t>
  </si>
  <si>
    <t>Tekuće pomoći temeljem prijenosa EU sredstava</t>
  </si>
  <si>
    <t>A679088</t>
  </si>
  <si>
    <t>REDOVNA DJELATNOST SVEUČILIŠTA U ZAGREBU (IZ EVIDENCIJSKIH PRIHODA)</t>
  </si>
  <si>
    <t>Kapitalne pomoći temeljem prijenosa EU sredstava</t>
  </si>
  <si>
    <t>A679089</t>
  </si>
  <si>
    <t>REDOVNA DJELATNOST SVEUČILIŠTA U RIJECI (IZ EVIDENCIJSKIH PRIHODA)</t>
  </si>
  <si>
    <t>Tekući prijenosi između proračunskih korisnika istog proraču</t>
  </si>
  <si>
    <t>A679090</t>
  </si>
  <si>
    <t>REDOVNA DJELATNOST SVEUČILIŠTA U OSIJEKU (IZ EVIDENCIJSKIH PRIHODA)</t>
  </si>
  <si>
    <t>Kapitalni prijenosi između proračunskih korisnika istog pror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</si>
  <si>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</si>
  <si>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</si>
  <si>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</si>
  <si>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</si>
  <si>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</si>
  <si>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</si>
  <si>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Naknade građ. i kuć. u novcu-neposr. ili putem ust.izvan js</t>
  </si>
  <si>
    <t>A679094</t>
  </si>
  <si>
    <t>REDOVNA DJELATNOST VELEUČILIŠTA I VISOKIH ŠKOLA (IZ EVIDENCIJSKIH PRIHODA)</t>
  </si>
  <si>
    <t>Naknade građ. i kuć. u naravi-neposr. ili putem ust.izvan js</t>
  </si>
  <si>
    <t>A679095</t>
  </si>
  <si>
    <t>REDOVNA DJELATNOST SVEUČILIŠTA U PULI (IZ EVIDENCIJSKIH PRIHODA)</t>
  </si>
  <si>
    <t>Naknade građanima i kućanstvima u novcu - putem ustanova u j</t>
  </si>
  <si>
    <t>A679096</t>
  </si>
  <si>
    <t>REDOVNA DJELATNOST SVEUČILIŠTA SJEVER (IZ EVIDENCIJSKIH PRIHODA)</t>
  </si>
  <si>
    <t>Naknade građanima i kućanstvima u naravi - putem ustanova u</t>
  </si>
  <si>
    <t>A679112</t>
  </si>
  <si>
    <t>REDOVNA DJELATNOST SVEUČILIŠTA U SLAVONSKOM BRODU</t>
  </si>
  <si>
    <t>Naknade građanima i kućanstvima na temelju osiguranja iz EU</t>
  </si>
  <si>
    <t>A679114</t>
  </si>
  <si>
    <t>REDOVNA DJELATNOST SVEUČILIŠTA U SLAVONSKOM BRODU  (IZ EVIDENCIJSKIH PRIHODA)</t>
  </si>
  <si>
    <t>Naknade građanima i kućanstvima u novcu</t>
  </si>
  <si>
    <t>K621061</t>
  </si>
  <si>
    <t>ODRŽAVANJE OBJEKATA VISOKOOBRAZOVNIH USTANOVA</t>
  </si>
  <si>
    <t>Naknade građanima i kućanstvima u naravi</t>
  </si>
  <si>
    <t>A622000</t>
  </si>
  <si>
    <t>REDOVNA DJELATNOST JAVNIH INSTITUTA</t>
  </si>
  <si>
    <t>Naknade građanima i kućanstvima iz EU sredstava</t>
  </si>
  <si>
    <t>A622002</t>
  </si>
  <si>
    <t>PROGRAM USAVRŠAVANJA ZNANSTVENIH NOVAKA</t>
  </si>
  <si>
    <t>Tekuće donacije u novcu</t>
  </si>
  <si>
    <t>A622009</t>
  </si>
  <si>
    <t>POTICAJ RAZVOJA ZNANOSTI I ULAGANJA U KADROVE - FINANCIRANJE ŠKOLARINA ZA POSLIJEDIPLOMSKI STUDIJ</t>
  </si>
  <si>
    <t>Tekuće donacije u naravi</t>
  </si>
  <si>
    <t>A622011</t>
  </si>
  <si>
    <t>REDOVNA DJELATNOST GEOLOŠKE SLUŽBE</t>
  </si>
  <si>
    <t>Tekuće donacije iz EU sredstava</t>
  </si>
  <si>
    <t>A622120</t>
  </si>
  <si>
    <t>PRAVOMOĆNE SUDSKE PRESUDE</t>
  </si>
  <si>
    <t>Kapitalne donacije neprofitnim organizacijama</t>
  </si>
  <si>
    <t>A622132</t>
  </si>
  <si>
    <t>REDOVNA DJELATNOST JAVNIH INSTITUTA (IZ EVIDENCIJSKIH PRIHODA)</t>
  </si>
  <si>
    <t>Naknade šteta pravnim i fizičkim osobama</t>
  </si>
  <si>
    <t>A622137</t>
  </si>
  <si>
    <t>PROGRAMSKO FINANCIRANJE JAVNIH ZNANSTVENIH INSTITUTA</t>
  </si>
  <si>
    <t>Penali, ležarine i drugo</t>
  </si>
  <si>
    <t>A763000</t>
  </si>
  <si>
    <t>ADMINISTRACIJA I UPRAVLJANJE DRŽAVNOG ZAVODA ZA INTELEKTUALNO VLASNIŠTVO</t>
  </si>
  <si>
    <t>Naknade šteta zaposlenicima</t>
  </si>
  <si>
    <t>T763005</t>
  </si>
  <si>
    <t>SURADNJA DZIV-a S EUROPSKIM UREDOM ZA ŽIGOVE I DIZAJN</t>
  </si>
  <si>
    <t>Ugovorene kazne i ostale naknade šteta</t>
  </si>
  <si>
    <t>A622017</t>
  </si>
  <si>
    <t>ADMINISTRACIJA I UPRAVLJANJE NACIONALNE SVEUČILIŠNE KNJIŽNICE</t>
  </si>
  <si>
    <t>Ostale kazne</t>
  </si>
  <si>
    <t>A622131</t>
  </si>
  <si>
    <t>NABAVA INOZEMNIH ZNANSTVENIH ČASOPISA</t>
  </si>
  <si>
    <t>Kapitalne pomoći kreditnim i ostalim financijskim institucijama te trgovačkim društvima u javnom sektoru</t>
  </si>
  <si>
    <t>A622134</t>
  </si>
  <si>
    <t>ADMINISTRACIJA I UPRAVLJANJE NACIONALNE SVEUČILIŠNE KNJIŽNICE (IZ EVIDENCIJSKIH PRIHODA)</t>
  </si>
  <si>
    <t>Kapitalne pomoći kreditnim i ostalim financijskim institucijama te trgovačkim društvima i zadrugama izvan javnog sektora</t>
  </si>
  <si>
    <t>K622116</t>
  </si>
  <si>
    <t>KNJIGE, UMJETNIČKA DJELA I OSTALE IZLOŽBENE VRIJEDNOSTI</t>
  </si>
  <si>
    <t>Kapitalne pomoći poljoprivrednicima i obrtnicima</t>
  </si>
  <si>
    <t>A628009</t>
  </si>
  <si>
    <t>ADMINISTRACIJA I UPRAVLJANJE HRVATSKE AKADEMSKE I ISTRAŽIVAČKE MREŽE CARNET</t>
  </si>
  <si>
    <t>Zemljište</t>
  </si>
  <si>
    <t>A628011</t>
  </si>
  <si>
    <t>PROGRAM TELEKOMUNIKACIJSKIH KAPACITETA ZA MREŽU CARNET</t>
  </si>
  <si>
    <t>Ostala prirodna materijalna imovina</t>
  </si>
  <si>
    <t>A628015</t>
  </si>
  <si>
    <t>UKLJUČIVANJE MREŽE CARNET U PAN-EUROPSKE AKADEMSKE I ISTRAŽIVAČKE MREŽE</t>
  </si>
  <si>
    <t>Koncesije</t>
  </si>
  <si>
    <t>A628068</t>
  </si>
  <si>
    <t>SUDJELOVANJE NA IZGRADNJI, TESTIRANJU I RAZVOJU OKOSNICE PAN-EUROPSKE RAČUNALNO KOMUNIKACIJSKE MREŽE</t>
  </si>
  <si>
    <t>Licence</t>
  </si>
  <si>
    <t>A628070</t>
  </si>
  <si>
    <t>PROGRAM OBJEDINJAVANJA I ODRŽAVANJA NACIONALNIH INFORMACIJSKIH SERVISA I E-ŠKOLA</t>
  </si>
  <si>
    <t>Ostala prava</t>
  </si>
  <si>
    <t>A628073</t>
  </si>
  <si>
    <t>PRIMJENA INFORMACIJSKE I KOMUNIKACIJSKE TEHNOLOGIJE U SUSTAVU SOCIJALNE SKRBI</t>
  </si>
  <si>
    <t>Ostala nematerijalna imovina</t>
  </si>
  <si>
    <t>A628074</t>
  </si>
  <si>
    <t>PROGRAMI ZAJEDNICE</t>
  </si>
  <si>
    <t>Stambeni objekti</t>
  </si>
  <si>
    <t>A628078</t>
  </si>
  <si>
    <t>POTICANJE PRIMJENE INFORMACIJSKE I KOMUNIKACIJSKE TEHNOLOGIJE ZA POTREBE MINISTARSTVA ZAŠTITE OKOLIŠA I ENERGETIKE</t>
  </si>
  <si>
    <t>Poslovni objekti</t>
  </si>
  <si>
    <t>A628079</t>
  </si>
  <si>
    <t>POTICANJE PRIMJENE INFORMACIJSKE I KOMUNIKACIJSKE TEHNOLOGIJE ZA POTREBE HZMO</t>
  </si>
  <si>
    <t>Ceste, željeznice i ostali prometni objekti</t>
  </si>
  <si>
    <t>A628082</t>
  </si>
  <si>
    <t>POTICANJE PRIMJENE INFORMACIJSKE I KOMUNIKACIJSKE TEHNOLOGIJE ZA POTREBE ZDRAVSTVENOG SUSTAVA REPUBLIKE HRVATSKE</t>
  </si>
  <si>
    <t>Ostali građevinski objekti</t>
  </si>
  <si>
    <t>A628089</t>
  </si>
  <si>
    <t>JAČANJE KAPACITETA NACIONALNOG CERT-A I POBOLJŠANJE SURADNJE NA HR I EU RAZINI - GROWCERT</t>
  </si>
  <si>
    <t>Uredska oprema i namještaj</t>
  </si>
  <si>
    <t>A628090</t>
  </si>
  <si>
    <t>UNAPRJEĐENJE JEDNAKIH MOGUĆNOSTI U OBRAZOVANJU ZA UČENIKE S TEŠKOĆAMA U RAZVOJU</t>
  </si>
  <si>
    <t>Komunikacijska oprema</t>
  </si>
  <si>
    <t>K406669</t>
  </si>
  <si>
    <t>CARNET - ZAJEDNIČKA RK INFRASTRUKTURA</t>
  </si>
  <si>
    <t>Oprema za održavanje i zaštitu</t>
  </si>
  <si>
    <t>K628069</t>
  </si>
  <si>
    <t>ULAGANJE U OPREMU ZA ODRŽAVANJE NACIONALNIH I INFORMACIJSKIH SERVISA</t>
  </si>
  <si>
    <t>Medicinska i laboratorijska oprema</t>
  </si>
  <si>
    <t>A622107</t>
  </si>
  <si>
    <t>ADMINISTRACIJA I UPRAVLJANJE LEKSIKOGRAFSKOG ZAVODA MIROSLAV KRLEŽA</t>
  </si>
  <si>
    <t>Instrumenti, uređaji i strojevi</t>
  </si>
  <si>
    <t>A622136</t>
  </si>
  <si>
    <t>ADMINISTRACIJA I UPRAVLJANJE LEKSIKOGRAFSKOG ZAVODA MIROSLAV KRLEŽA (IZ EVIDENCIJSKIH PRIHODA)</t>
  </si>
  <si>
    <t>Sportska i glazbena oprema</t>
  </si>
  <si>
    <t>A628018</t>
  </si>
  <si>
    <t>ADMINISTRACIJA I UPRAVLJANJE SVEUČILIŠNOG RAČUNSKOG CENTRA SRCE</t>
  </si>
  <si>
    <t>Uređaji, strojevi i oprema za ostale namjene</t>
  </si>
  <si>
    <t>A628084</t>
  </si>
  <si>
    <t>ADMINISTRACIJA I UPRAVLJANJE SVEUČILIŠNOG RAČUNSKOG CENTRA SRCE  (IZ EVIDENCIJSKIH PRIHODA)</t>
  </si>
  <si>
    <t>Prijevozna sredstva u cestovnom prometu</t>
  </si>
  <si>
    <t>K628055</t>
  </si>
  <si>
    <t>SRCE -IZRAVNA KAPITALNA ULAGANJA</t>
  </si>
  <si>
    <t>Prijevozna sredstva u pomorskom i riječnom prometu</t>
  </si>
  <si>
    <t>K628085</t>
  </si>
  <si>
    <t>SRCE - IZRAVNA KAPITALNA ULAGANJA  (IZ EVIDENCIJSKIH PRIHODA)</t>
  </si>
  <si>
    <t>Knjige</t>
  </si>
  <si>
    <t>A580006</t>
  </si>
  <si>
    <t>STRUČNO USAVRŠAVANJE I IZOBRAZBA UČITELJA I NASTAVNIKA U SREDNJIM ŠKOLAMA I USAVRŠAVANJE ZA PROVEDBU NACIONALNIH PROGRAMA</t>
  </si>
  <si>
    <t>Umjetnička djela (izložena u galerijama, muzejima i slično)</t>
  </si>
  <si>
    <t>A733001</t>
  </si>
  <si>
    <t>ADMINISTRACIJA I UPRAVLJANJE AGENCIJE ZA ODGOJ I OBRAZOVANJE</t>
  </si>
  <si>
    <t>Ostale nespomenute izložbene vrijednosti</t>
  </si>
  <si>
    <t>A733003</t>
  </si>
  <si>
    <t>NACIONALNI PROGRAMI</t>
  </si>
  <si>
    <t>Višegodišnji nasadi</t>
  </si>
  <si>
    <t>A733027</t>
  </si>
  <si>
    <t>STRUČNO USAVRŠAVANJE U OKVIRU ŽUPANIJSKIH STRUČNIH VIJEĆA</t>
  </si>
  <si>
    <t>Osnovno stado</t>
  </si>
  <si>
    <t>A733028</t>
  </si>
  <si>
    <t>CENTAR ZA MEĐUNARODNU SURADNJU</t>
  </si>
  <si>
    <t>Ulaganja u računalne programe</t>
  </si>
  <si>
    <t>A733032</t>
  </si>
  <si>
    <t>IZVANNASTAVNE AKTIVNOSTI U OSNOVNIM I SREDNJIM ŠKOLAMA-NATJECANJE</t>
  </si>
  <si>
    <t>Umjetnička, literarna i znanstvena djela</t>
  </si>
  <si>
    <t>A733058</t>
  </si>
  <si>
    <t>STRUČNO USAVRŠAVANJE UČITELJA I NASTAVNIKA TALIJANSKOG JEZIKA</t>
  </si>
  <si>
    <t>Ostala nematerijalna proizvedena imovina</t>
  </si>
  <si>
    <t>A767022</t>
  </si>
  <si>
    <t>STRUČNO USAVRŠAVANJE ODGOJNO-OBRAZOVNIH DJELATNIKA U SUSTAVU OSNOVNOG I SREDNJEG ŠKOLSTVA</t>
  </si>
  <si>
    <t>Pohranjene knjige, umjetnička djela i slične vrijednosti</t>
  </si>
  <si>
    <t>K733054</t>
  </si>
  <si>
    <t>OP KONKURENTNOST I KOHEZIJA 2014.-2020., PRIORITET 9</t>
  </si>
  <si>
    <t>Strateške zalihe</t>
  </si>
  <si>
    <t>K767054</t>
  </si>
  <si>
    <t>Dodatna ulaganja na građevinskim objektima</t>
  </si>
  <si>
    <t>A621155</t>
  </si>
  <si>
    <t>ADMINISTRACIJA I UPRAVLJANJE AGENCIJE ZA ZNANOST I VISOKO OBRAZOVANJE</t>
  </si>
  <si>
    <t>Dodatna ulaganja na postrojenjima i opremi</t>
  </si>
  <si>
    <t>A621179</t>
  </si>
  <si>
    <t>TROŠKOVI NACIONALNOG VIJEĆA ZA ZNANOST I VISOKO OBRAZOVANJE</t>
  </si>
  <si>
    <t>Dodatna ulaganja na prijevoznim sredstvima</t>
  </si>
  <si>
    <t>A621182</t>
  </si>
  <si>
    <t>VIJEĆE VELEUČILIŠTA I VISOKIH ŠKOLA</t>
  </si>
  <si>
    <t>Dodatna ulaganja za ostalu nefinancijsku imovinu</t>
  </si>
  <si>
    <t>A621186</t>
  </si>
  <si>
    <t>VREDNOVANJE ZNANSTVENIH ORGANIZACIJA</t>
  </si>
  <si>
    <t>Dani zajmovi neprofitnim organizacijama, građanima i kućanst</t>
  </si>
  <si>
    <t>A621187</t>
  </si>
  <si>
    <t>VREDNOVANJE VISOKIH UČILIŠTA</t>
  </si>
  <si>
    <t>Otplata glavnice primljenih kredita od tuzemnih kreditnih in</t>
  </si>
  <si>
    <t>A621190</t>
  </si>
  <si>
    <t>VANJSKA PROSUDBA SUSTAVA OSIGURANJA KVALITETE VISOKIH UČILIŠTA I ZNANSTVENIH ORGANIZACIJA (VP)</t>
  </si>
  <si>
    <t>Dani zajmovi neprofitnim organizacijama, građanima i kućanstvima u tuzemstvu</t>
  </si>
  <si>
    <t>A621191</t>
  </si>
  <si>
    <t>PRAĆENJE ZAPOŠLJAVANJA DIPLOMIRANIH STUDENATA</t>
  </si>
  <si>
    <t>Dani zajmovi neprofitnim organizacijama, građanima i kućanstvima u inozemstvu</t>
  </si>
  <si>
    <t>A621192</t>
  </si>
  <si>
    <t>TROŠKOVI SREDIŠNJEG PRIJAVNOG UREDA</t>
  </si>
  <si>
    <t>Dani zajmovi trgovačkim društvima u javnom sektoru</t>
  </si>
  <si>
    <t>A867002</t>
  </si>
  <si>
    <t>USKLAĐIVANJE PRISTUPA STRUKOVNOG VISOKOG OBRAZOVANJA U EUROPI - EURASHE</t>
  </si>
  <si>
    <t>Izdaci za depozite u kreditnim i ostalim financijskim institucijama - tuzemni</t>
  </si>
  <si>
    <t>A867004</t>
  </si>
  <si>
    <t>ODBOR ZA ETIKU U ZNANOSTI I VISOKOM OBRAZOVANJU</t>
  </si>
  <si>
    <t xml:space="preserve">Izdaci za jamčevne pologe </t>
  </si>
  <si>
    <t>A867005</t>
  </si>
  <si>
    <t>JAČANJE STRUČNOG VISOKOG OBRAZOVANJA I STRUKOVNOG OBRAZOVANJA I OSPOSOBLJAVANJA U SREDNJOJ I JUGIOISTOČNOJ EUROPI (PROCSEE)</t>
  </si>
  <si>
    <t>Otplata glavnice primljenih kredita od kreditnih institucija u javnom sektoru</t>
  </si>
  <si>
    <t>A867006</t>
  </si>
  <si>
    <t>JAČANJE SPOSOBNOSTI U PODRUČJU STRUČNOG VISOKOG OBRAZOVANJA U EUROPI (BUILDPHE)</t>
  </si>
  <si>
    <t>Otplata glavnice primljenih zajmova od trgovačkih društava u javnom sektoru</t>
  </si>
  <si>
    <t>A867009</t>
  </si>
  <si>
    <t>ERASMUS PLUS - MODERNIZACIJA VISOKIH UČILIŠTA PUTEM UNAPRJEĐENJA FUNKCIJE UPRAVLJANJA LJUDSKIM POTENCIJALIMA</t>
  </si>
  <si>
    <t>Otplata glavnice primljenih kredita od tuzemnih kreditnih institucija izvan javnog sektora</t>
  </si>
  <si>
    <t>A867010</t>
  </si>
  <si>
    <t>MODERNIZACIJA, OBRAZOVANJE I LJUDSKA PRAVA (MEHR)</t>
  </si>
  <si>
    <t>Otplata glavnice primljenih zajmova od ostalih tuzemnih financijskih institucija izvan javnog sektora</t>
  </si>
  <si>
    <t>A867013</t>
  </si>
  <si>
    <t>ERASMUS PLUS - BAZA PODATAKA REZULTATA VANJSKIH VREDNOVANJA</t>
  </si>
  <si>
    <t>Otplata glavnice primljenih zajmova od tuzemnih trgovačkih društava izvan javnog sektora</t>
  </si>
  <si>
    <t>A867014</t>
  </si>
  <si>
    <t>ERASMUS - JAČANJE MULTIPARTNERSKE SURADNJE U PRUŽANJU USLUGA CJELOŽIVOTNOG PROFESIONALNOG USMJERAVANJA - KEEP IN PACT</t>
  </si>
  <si>
    <t>Otplata glavnice primljenih zajmova od županijskih proračuna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</si>
  <si>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</si>
  <si>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</si>
  <si>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</si>
  <si>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</si>
  <si>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</si>
  <si>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</si>
  <si>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</si>
  <si>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</si>
  <si>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</si>
  <si>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</si>
  <si>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</si>
  <si>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</si>
  <si>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</si>
  <si>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</si>
  <si>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</si>
  <si>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</si>
  <si>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</si>
  <si>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</si>
  <si>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</si>
  <si>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</si>
  <si>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</si>
  <si>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</si>
  <si>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</si>
  <si>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</si>
  <si>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</si>
  <si>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K628067</t>
  </si>
  <si>
    <t>IZRADA SREDIŠNJEG REGISTRA ZA DRŽAVNU MATURU</t>
  </si>
  <si>
    <t>K814004</t>
  </si>
  <si>
    <t>NABAVA INFORMATIČKE OPREME ZA EVALUACIJU ZNANJA UČENIKA - NCVVO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</si>
  <si>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</si>
  <si>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</si>
  <si>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</si>
  <si>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</si>
  <si>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</si>
  <si>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</si>
  <si>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</si>
  <si>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</si>
  <si>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</si>
  <si>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</si>
  <si>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</si>
  <si>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</si>
  <si>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</si>
  <si>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</si>
  <si>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</si>
  <si>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</si>
  <si>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</si>
  <si>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</si>
  <si>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</si>
  <si>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</si>
  <si>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</si>
  <si>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</si>
  <si>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</si>
  <si>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</si>
  <si>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</si>
  <si>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</si>
  <si>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</si>
  <si>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</si>
  <si>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</si>
  <si>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</si>
  <si>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</si>
  <si>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</si>
  <si>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</si>
  <si>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</si>
  <si>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</si>
  <si>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</si>
  <si>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</si>
  <si>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</si>
  <si>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</si>
  <si>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</si>
  <si>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</si>
  <si>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</si>
  <si>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</si>
  <si>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</si>
  <si>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</si>
  <si>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</si>
  <si>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</si>
  <si>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</si>
  <si>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</si>
  <si>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</si>
  <si>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</si>
  <si>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</si>
  <si>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</si>
  <si>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</si>
  <si>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</si>
  <si>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</si>
  <si>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</si>
  <si>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</si>
  <si>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</si>
  <si>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</si>
  <si>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</si>
  <si>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</si>
  <si>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</si>
  <si>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</si>
  <si>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</si>
  <si>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T848027</t>
  </si>
  <si>
    <t>OP UČINKOVITI LJUDSKI POTENCIJALI 2014. - 2020., PRIORITET 5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</si>
  <si>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</si>
  <si>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</si>
  <si>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</si>
  <si>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</si>
  <si>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</si>
  <si>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</si>
  <si>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</si>
  <si>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</si>
  <si>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</si>
  <si>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</si>
  <si>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</si>
  <si>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</si>
  <si>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</si>
  <si>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</si>
  <si>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</si>
  <si>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</si>
  <si>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</si>
  <si>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</si>
  <si>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</si>
  <si>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</si>
  <si>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</si>
  <si>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Internacionalizacija visokog obrazovanja - razvoj studijskih programa na stranim jezicima u prioritetnim područjima i združenih studija</t>
  </si>
  <si>
    <t>K818050.007</t>
  </si>
  <si>
    <t>Provedba HKO-a na razini visokog obrazovanja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</si>
  <si>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</si>
  <si>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</si>
  <si>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</si>
  <si>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</si>
  <si>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</si>
  <si>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</si>
  <si>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</si>
  <si>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</si>
  <si>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</si>
  <si>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</si>
  <si>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</si>
  <si>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</si>
  <si>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</si>
  <si>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</si>
  <si>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</si>
  <si>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</si>
  <si>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</si>
  <si>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</si>
  <si>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</si>
  <si>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</si>
  <si>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</si>
  <si>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</si>
  <si>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</si>
  <si>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</si>
  <si>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</si>
  <si>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</si>
  <si>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</si>
  <si>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</si>
  <si>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</si>
  <si>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</si>
  <si>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</si>
  <si>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</si>
  <si>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</si>
  <si>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</si>
  <si>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</si>
  <si>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</si>
  <si>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</si>
  <si>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</si>
  <si>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</si>
  <si>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</si>
  <si>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</si>
  <si>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</si>
  <si>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</si>
  <si>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</si>
  <si>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</si>
  <si>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</si>
  <si>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</si>
  <si>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</si>
  <si>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</si>
  <si>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</si>
  <si>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</si>
  <si>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</si>
  <si>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</si>
  <si>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</si>
  <si>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</si>
  <si>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</si>
  <si>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</si>
  <si>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</si>
  <si>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</si>
  <si>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</si>
  <si>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</si>
  <si>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</si>
  <si>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</si>
  <si>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</si>
  <si>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</si>
  <si>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</si>
  <si>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</si>
  <si>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</si>
  <si>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</si>
  <si>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</si>
  <si>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</si>
  <si>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</si>
  <si>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</si>
  <si>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</si>
  <si>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</si>
  <si>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</si>
  <si>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</si>
  <si>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</si>
  <si>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</si>
  <si>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</si>
  <si>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</si>
  <si>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</si>
  <si>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</si>
  <si>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</si>
  <si>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</si>
  <si>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</si>
  <si>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</si>
  <si>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</si>
  <si>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</si>
  <si>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</si>
  <si>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</si>
  <si>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</si>
  <si>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</si>
  <si>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</si>
  <si>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</si>
  <si>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</si>
  <si>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</si>
  <si>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</si>
  <si>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</si>
  <si>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</si>
  <si>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</si>
  <si>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</si>
  <si>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</si>
  <si>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</si>
  <si>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</si>
  <si>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</si>
  <si>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</si>
  <si>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</si>
  <si>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</si>
  <si>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</si>
  <si>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</si>
  <si>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</si>
  <si>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</si>
  <si>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</si>
  <si>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</si>
  <si>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</si>
  <si>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</si>
  <si>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</si>
  <si>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</si>
  <si>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</si>
  <si>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</si>
  <si>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</si>
  <si>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</si>
  <si>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</si>
  <si>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</si>
  <si>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</si>
  <si>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</si>
  <si>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</si>
  <si>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</si>
  <si>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</si>
  <si>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</si>
  <si>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</si>
  <si>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</si>
  <si>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</si>
  <si>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</si>
  <si>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</si>
  <si>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</si>
  <si>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</si>
  <si>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</si>
  <si>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</si>
  <si>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</si>
  <si>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</si>
  <si>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</si>
  <si>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</si>
  <si>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</si>
  <si>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</si>
  <si>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</si>
  <si>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</si>
  <si>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</si>
  <si>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</si>
  <si>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</si>
  <si>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</si>
  <si>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</si>
  <si>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</si>
  <si>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</si>
  <si>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</si>
  <si>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</si>
  <si>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</si>
  <si>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</si>
  <si>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</si>
  <si>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</si>
  <si>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</si>
  <si>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</si>
  <si>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</si>
  <si>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</si>
  <si>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</si>
  <si>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</si>
  <si>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</si>
  <si>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</si>
  <si>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</si>
  <si>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</si>
  <si>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</si>
  <si>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</si>
  <si>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</si>
  <si>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</si>
  <si>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</si>
  <si>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</si>
  <si>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</si>
  <si>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</si>
  <si>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</si>
  <si>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</si>
  <si>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</si>
  <si>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</si>
  <si>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</si>
  <si>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</si>
  <si>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</si>
  <si>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</si>
  <si>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</si>
  <si>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</si>
  <si>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</si>
  <si>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</si>
  <si>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</si>
  <si>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</si>
  <si>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</si>
  <si>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</si>
  <si>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</si>
  <si>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</si>
  <si>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</si>
  <si>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</si>
  <si>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</si>
  <si>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</si>
  <si>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</si>
  <si>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</si>
  <si>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</si>
  <si>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</si>
  <si>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</si>
  <si>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</si>
  <si>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</si>
  <si>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</si>
  <si>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</si>
  <si>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</si>
  <si>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</si>
  <si>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</si>
  <si>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</si>
  <si>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</si>
  <si>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</si>
  <si>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</si>
  <si>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</si>
  <si>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</si>
  <si>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</si>
  <si>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</si>
  <si>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</si>
  <si>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</si>
  <si>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</si>
  <si>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</si>
  <si>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</si>
  <si>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</si>
  <si>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</si>
  <si>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</si>
  <si>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</si>
  <si>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</si>
  <si>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</si>
  <si>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</si>
  <si>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</si>
  <si>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</si>
  <si>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</si>
  <si>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</si>
  <si>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</si>
  <si>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</si>
  <si>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</si>
  <si>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</si>
  <si>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</si>
  <si>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</si>
  <si>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</si>
  <si>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</si>
  <si>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</si>
  <si>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</si>
  <si>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</si>
  <si>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</si>
  <si>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</si>
  <si>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</si>
  <si>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</si>
  <si>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</si>
  <si>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</si>
  <si>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</si>
  <si>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</si>
  <si>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</si>
  <si>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</si>
  <si>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</si>
  <si>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</si>
  <si>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</si>
  <si>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</si>
  <si>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</si>
  <si>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</si>
  <si>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</si>
  <si>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</si>
  <si>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</si>
  <si>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</si>
  <si>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</si>
  <si>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</si>
  <si>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</si>
  <si>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</si>
  <si>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</si>
  <si>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</si>
  <si>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</si>
  <si>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</si>
  <si>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</si>
  <si>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</si>
  <si>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</si>
  <si>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</si>
  <si>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</si>
  <si>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</si>
  <si>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</si>
  <si>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</si>
  <si>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</si>
  <si>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</si>
  <si>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</si>
  <si>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</si>
  <si>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</si>
  <si>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</si>
  <si>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</si>
  <si>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</si>
  <si>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</si>
  <si>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</si>
  <si>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</si>
  <si>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</si>
  <si>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</si>
  <si>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</si>
  <si>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</si>
  <si>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</si>
  <si>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</si>
  <si>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</si>
  <si>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</si>
  <si>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</si>
  <si>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</si>
  <si>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</si>
  <si>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</si>
  <si>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</si>
  <si>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</si>
  <si>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</si>
  <si>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</si>
  <si>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</si>
  <si>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</si>
  <si>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</si>
  <si>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</si>
  <si>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</si>
  <si>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</si>
  <si>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</si>
  <si>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</si>
  <si>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</si>
  <si>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</si>
  <si>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</si>
  <si>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</si>
  <si>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</si>
  <si>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</si>
  <si>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</si>
  <si>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</si>
  <si>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</si>
  <si>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</si>
  <si>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</si>
  <si>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</si>
  <si>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</si>
  <si>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</si>
  <si>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</si>
  <si>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</si>
  <si>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</si>
  <si>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</si>
  <si>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</si>
  <si>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</si>
  <si>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</si>
  <si>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</si>
  <si>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</si>
  <si>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</si>
  <si>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</si>
  <si>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</si>
  <si>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</si>
  <si>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</si>
  <si>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</si>
  <si>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</si>
  <si>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</si>
  <si>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</si>
  <si>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</si>
  <si>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</si>
  <si>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</si>
  <si>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</si>
  <si>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</si>
  <si>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</si>
  <si>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</si>
  <si>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</si>
  <si>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</si>
  <si>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</si>
  <si>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</si>
  <si>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</si>
  <si>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</si>
  <si>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</si>
  <si>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</si>
  <si>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</si>
  <si>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</si>
  <si>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</si>
  <si>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</si>
  <si>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</si>
  <si>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</si>
  <si>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</si>
  <si>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</si>
  <si>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</si>
  <si>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</si>
  <si>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</si>
  <si>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</si>
  <si>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</si>
  <si>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</si>
  <si>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</si>
  <si>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</si>
  <si>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</si>
  <si>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</si>
  <si>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</si>
  <si>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</si>
  <si>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</si>
  <si>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</si>
  <si>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</si>
  <si>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</si>
  <si>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</si>
  <si>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</si>
  <si>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</si>
  <si>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</si>
  <si>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</si>
  <si>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</si>
  <si>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</si>
  <si>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</si>
  <si>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</si>
  <si>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</si>
  <si>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</si>
  <si>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</si>
  <si>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</si>
  <si>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</si>
  <si>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</si>
  <si>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</si>
  <si>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</si>
  <si>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</si>
  <si>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</si>
  <si>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</si>
  <si>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</si>
  <si>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</si>
  <si>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</si>
  <si>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</si>
  <si>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</si>
  <si>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</si>
  <si>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</si>
  <si>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</si>
  <si>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</si>
  <si>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</si>
  <si>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</si>
  <si>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</si>
  <si>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</si>
  <si>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</si>
  <si>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</si>
  <si>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</si>
  <si>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</si>
  <si>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</si>
  <si>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</si>
  <si>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</si>
  <si>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</si>
  <si>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</si>
  <si>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</si>
  <si>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</si>
  <si>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</si>
  <si>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</si>
  <si>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</si>
  <si>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</si>
  <si>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</si>
  <si>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</si>
  <si>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</si>
  <si>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</si>
  <si>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</si>
  <si>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</si>
  <si>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</si>
  <si>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</si>
  <si>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</si>
  <si>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</si>
  <si>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</si>
  <si>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</si>
  <si>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</si>
  <si>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</si>
  <si>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</si>
  <si>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</si>
  <si>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</si>
  <si>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</si>
  <si>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</si>
  <si>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</si>
  <si>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</si>
  <si>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</si>
  <si>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</si>
  <si>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</si>
  <si>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</si>
  <si>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</si>
  <si>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</si>
  <si>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</si>
  <si>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</si>
  <si>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</si>
  <si>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</si>
  <si>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</si>
  <si>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</si>
  <si>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</si>
  <si>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</si>
  <si>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</si>
  <si>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</si>
  <si>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</si>
  <si>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</si>
  <si>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</si>
  <si>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</si>
  <si>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</si>
  <si>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</si>
  <si>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</si>
  <si>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</si>
  <si>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</si>
  <si>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</si>
  <si>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</si>
  <si>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</si>
  <si>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</si>
  <si>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</si>
  <si>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</si>
  <si>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</si>
  <si>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</si>
  <si>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</si>
  <si>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</si>
  <si>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</si>
  <si>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</si>
  <si>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</si>
  <si>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</si>
  <si>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</si>
  <si>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</si>
  <si>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</si>
  <si>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</si>
  <si>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</si>
  <si>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</si>
  <si>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</si>
  <si>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</si>
  <si>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</si>
  <si>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</si>
  <si>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</si>
  <si>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</si>
  <si>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</si>
  <si>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</si>
  <si>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</si>
  <si>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</si>
  <si>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</si>
  <si>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</si>
  <si>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</si>
  <si>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</si>
  <si>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</si>
  <si>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</si>
  <si>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</si>
  <si>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</si>
  <si>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</si>
  <si>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</si>
  <si>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</si>
  <si>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</si>
  <si>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</si>
  <si>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</si>
  <si>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</si>
  <si>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</si>
  <si>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</si>
  <si>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</si>
  <si>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</si>
  <si>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</si>
  <si>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</si>
  <si>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</si>
  <si>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</si>
  <si>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</si>
  <si>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</si>
  <si>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</si>
  <si>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</si>
  <si>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</si>
  <si>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</si>
  <si>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</si>
  <si>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</si>
  <si>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</si>
  <si>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</si>
  <si>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</si>
  <si>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</si>
  <si>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</si>
  <si>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</si>
  <si>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</si>
  <si>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</si>
  <si>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</si>
  <si>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</si>
  <si>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</si>
  <si>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</si>
  <si>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</si>
  <si>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</si>
  <si>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</si>
  <si>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</si>
  <si>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</si>
  <si>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</si>
  <si>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</si>
  <si>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</si>
  <si>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</si>
  <si>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</si>
  <si>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</si>
  <si>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</si>
  <si>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</si>
  <si>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</si>
  <si>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</si>
  <si>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</si>
  <si>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</si>
  <si>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</si>
  <si>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</si>
  <si>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</si>
  <si>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</si>
  <si>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</si>
  <si>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</si>
  <si>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</si>
  <si>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</si>
  <si>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</si>
  <si>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</si>
  <si>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</si>
  <si>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</si>
  <si>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</si>
  <si>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</si>
  <si>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</si>
  <si>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</si>
  <si>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</si>
  <si>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</si>
  <si>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</si>
  <si>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</si>
  <si>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</si>
  <si>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</si>
  <si>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</si>
  <si>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</si>
  <si>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</si>
  <si>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</si>
  <si>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</si>
  <si>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</si>
  <si>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</si>
  <si>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</si>
  <si>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</si>
  <si>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</si>
  <si>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</si>
  <si>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</si>
  <si>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</si>
  <si>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</si>
  <si>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</si>
  <si>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</si>
  <si>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</si>
  <si>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</si>
  <si>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</si>
  <si>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</si>
  <si>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</si>
  <si>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</si>
  <si>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</si>
  <si>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</si>
  <si>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</si>
  <si>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</si>
  <si>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</si>
  <si>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</si>
  <si>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</si>
  <si>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</si>
  <si>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</si>
  <si>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</si>
  <si>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</si>
  <si>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</si>
  <si>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</si>
  <si>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</si>
  <si>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</si>
  <si>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</si>
  <si>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</si>
  <si>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</si>
  <si>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</si>
  <si>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</si>
  <si>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</si>
  <si>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</si>
  <si>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</si>
  <si>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</si>
  <si>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</si>
  <si>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</si>
  <si>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</si>
  <si>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</si>
  <si>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</si>
  <si>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</si>
  <si>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</si>
  <si>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</si>
  <si>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</si>
  <si>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</si>
  <si>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</si>
  <si>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</si>
  <si>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</si>
  <si>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</si>
  <si>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</si>
  <si>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</si>
  <si>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</si>
  <si>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</si>
  <si>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</si>
  <si>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</si>
  <si>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</si>
  <si>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</si>
  <si>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</si>
  <si>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</si>
  <si>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</si>
  <si>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</si>
  <si>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</si>
  <si>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</si>
  <si>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</si>
  <si>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</si>
  <si>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</si>
  <si>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</si>
  <si>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</si>
  <si>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</si>
  <si>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</si>
  <si>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</si>
  <si>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</si>
  <si>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</si>
  <si>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</si>
  <si>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</si>
  <si>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</si>
  <si>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</si>
  <si>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</si>
  <si>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</si>
  <si>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</si>
  <si>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</si>
  <si>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</si>
  <si>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</si>
  <si>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</si>
  <si>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</si>
  <si>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</si>
  <si>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</si>
  <si>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</si>
  <si>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</si>
  <si>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</si>
  <si>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</si>
  <si>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</si>
  <si>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</si>
  <si>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</si>
  <si>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</si>
  <si>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</si>
  <si>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</si>
  <si>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</si>
  <si>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</si>
  <si>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</si>
  <si>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</si>
  <si>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</si>
  <si>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</si>
  <si>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</si>
  <si>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</si>
  <si>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</si>
  <si>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</si>
  <si>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A679081.006</t>
  </si>
  <si>
    <t>zakOČI</t>
  </si>
  <si>
    <t>K679084.001</t>
  </si>
  <si>
    <t>Vrhunska istraživanja Znanstvenih centara izvrsnosti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</si>
  <si>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</si>
  <si>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</si>
  <si>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</si>
  <si>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</si>
  <si>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</si>
  <si>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K679084.005</t>
  </si>
  <si>
    <t>K679106.001</t>
  </si>
  <si>
    <t>K679106.002</t>
  </si>
  <si>
    <t>K679106.003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</si>
  <si>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</si>
  <si>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</si>
  <si>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</si>
  <si>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</si>
  <si>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</si>
  <si>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</si>
  <si>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</si>
  <si>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</si>
  <si>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</si>
  <si>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</si>
  <si>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</si>
  <si>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</si>
  <si>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</si>
  <si>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</si>
  <si>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</si>
  <si>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</si>
  <si>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</si>
  <si>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</si>
  <si>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</si>
  <si>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</si>
  <si>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</si>
  <si>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</si>
  <si>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</si>
  <si>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</si>
  <si>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</si>
  <si>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</si>
  <si>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</si>
  <si>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</si>
  <si>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</si>
  <si>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</si>
  <si>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</si>
  <si>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</si>
  <si>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</si>
  <si>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</si>
  <si>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</si>
  <si>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</si>
  <si>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</si>
  <si>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</si>
  <si>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</si>
  <si>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</si>
  <si>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</si>
  <si>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</si>
  <si>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</si>
  <si>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</si>
  <si>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</si>
  <si>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</si>
  <si>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</si>
  <si>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</si>
  <si>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</si>
  <si>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</si>
  <si>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</si>
  <si>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</si>
  <si>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</si>
  <si>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</si>
  <si>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</si>
  <si>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</si>
  <si>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</si>
  <si>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</si>
  <si>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</si>
  <si>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</si>
  <si>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</si>
  <si>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</si>
  <si>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</si>
  <si>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</si>
  <si>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</si>
  <si>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</si>
  <si>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</si>
  <si>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</si>
  <si>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</si>
  <si>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</si>
  <si>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</si>
  <si>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</si>
  <si>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</si>
  <si>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</si>
  <si>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</si>
  <si>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</si>
  <si>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</si>
  <si>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</si>
  <si>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</si>
  <si>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</si>
  <si>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</si>
  <si>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</si>
  <si>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</si>
  <si>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</si>
  <si>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</si>
  <si>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</si>
  <si>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</si>
  <si>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</si>
  <si>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</si>
  <si>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</si>
  <si>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</si>
  <si>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</si>
  <si>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</si>
  <si>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</si>
  <si>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</si>
  <si>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</si>
  <si>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</si>
  <si>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</si>
  <si>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</si>
  <si>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</si>
  <si>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</si>
  <si>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</si>
  <si>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</si>
  <si>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</si>
  <si>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</si>
  <si>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</si>
  <si>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</si>
  <si>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</si>
  <si>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</si>
  <si>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</si>
  <si>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</si>
  <si>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</si>
  <si>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</si>
  <si>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</si>
  <si>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</si>
  <si>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</si>
  <si>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</si>
  <si>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</si>
  <si>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</si>
  <si>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</si>
  <si>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</si>
  <si>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</si>
  <si>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</si>
  <si>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</si>
  <si>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</si>
  <si>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</si>
  <si>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</si>
  <si>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K622128.005</t>
  </si>
  <si>
    <t>K622128.006</t>
  </si>
  <si>
    <t>K622128.007</t>
  </si>
  <si>
    <t>Strateški projekt "Centar za napredne laserske tehnike"</t>
  </si>
  <si>
    <t>K622128.008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</si>
  <si>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</si>
  <si>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</si>
  <si>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</si>
  <si>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</si>
  <si>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</si>
  <si>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</si>
  <si>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</si>
  <si>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</si>
  <si>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</si>
  <si>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</si>
  <si>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</si>
  <si>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</si>
  <si>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</si>
  <si>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</si>
  <si>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</si>
  <si>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</si>
  <si>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</si>
  <si>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</si>
  <si>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</si>
  <si>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</si>
  <si>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</si>
  <si>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</si>
  <si>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</si>
  <si>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</si>
  <si>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PLAN PRIHODA I PRIMITAKA</t>
  </si>
  <si>
    <t>u kunama</t>
  </si>
  <si>
    <t>Izvor prihoda i primitaka</t>
  </si>
  <si>
    <t>2021.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</si>
  <si>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</si>
  <si>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</si>
  <si>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</si>
  <si>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</si>
  <si>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</si>
  <si>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</si>
  <si>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</si>
  <si>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</si>
  <si>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</si>
  <si>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</si>
  <si>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</si>
  <si>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</si>
  <si>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</si>
  <si>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</si>
  <si>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</si>
  <si>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</si>
  <si>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</si>
  <si>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</si>
  <si>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</si>
  <si>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</si>
  <si>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</si>
  <si>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</si>
  <si>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IZVOR 83                Namjenski primici od inozemnog zaduživanja</t>
  </si>
  <si>
    <t>PRIHODI (6+7)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</si>
  <si>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</si>
  <si>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LIMIT ZA RASHODNU STRANU</t>
  </si>
  <si>
    <t>RASHODI</t>
  </si>
  <si>
    <t>KONTROLA</t>
  </si>
  <si>
    <t>614</t>
  </si>
  <si>
    <t>Naknade za priređivanje igara na sreću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</si>
  <si>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</si>
  <si>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</si>
  <si>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</si>
  <si>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</si>
  <si>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</si>
  <si>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</si>
  <si>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</si>
  <si>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</si>
  <si>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</si>
  <si>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</si>
  <si>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</si>
  <si>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</si>
  <si>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</si>
  <si>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</si>
  <si>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</si>
  <si>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</si>
  <si>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</si>
  <si>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 xml:space="preserve">Upravne i administrativne pristojbe 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</si>
  <si>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</si>
  <si>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</si>
  <si>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</si>
  <si>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</si>
  <si>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</si>
  <si>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</si>
  <si>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</si>
  <si>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</si>
  <si>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</si>
  <si>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</si>
  <si>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</si>
  <si>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</si>
  <si>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</si>
  <si>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</si>
  <si>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</si>
  <si>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</si>
  <si>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</si>
  <si>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</si>
  <si>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</si>
  <si>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</si>
  <si>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</si>
  <si>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</si>
  <si>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</si>
  <si>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</si>
  <si>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</si>
  <si>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</si>
  <si>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(povrati) glavnice zajmova danih neprofitnim organizacijama, građanima i kućanstvima</t>
  </si>
  <si>
    <t>Primici od povrata depozita i jamčevnih pologa</t>
  </si>
  <si>
    <t>Primici od prodaje dionica i udjela u glavnici trg.dr. u javnom sektoru</t>
  </si>
  <si>
    <t>Primici od prodaje dionica i udjela u glavnici kreditnih i ostalih fin.institucija izvan jav.sektora</t>
  </si>
  <si>
    <t xml:space="preserve">Primljeni krediti i zajmovi od međ.org.,institucija i tijela EU te inozemnih vlada </t>
  </si>
  <si>
    <t>Primljeni krediti i zajmovi od kreditnih i ostalih financijskih institucija u javnom sektoru</t>
  </si>
  <si>
    <t>8</t>
  </si>
  <si>
    <t>Ukupno (po izvorima)</t>
  </si>
  <si>
    <t>2022.</t>
  </si>
  <si>
    <t>2023.</t>
  </si>
  <si>
    <t>FINANCIJSKI PLAN RASHODA I IZDATAKA ZA 2021. GODINU I PROJEKCIJE ZA 2022. I 2023. GODINU</t>
  </si>
  <si>
    <t>Šifra</t>
  </si>
  <si>
    <t>Naziv</t>
  </si>
  <si>
    <t>PRIJEDLOG PLANA 
UKUPNO za 2019.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</si>
  <si>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</si>
  <si>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</si>
  <si>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</si>
  <si>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</si>
  <si>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</si>
  <si>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</si>
  <si>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</si>
  <si>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</si>
  <si>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</si>
  <si>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</si>
  <si>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</si>
  <si>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</si>
  <si>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</si>
  <si>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</si>
  <si>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</si>
  <si>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</si>
  <si>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</si>
  <si>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</si>
  <si>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</si>
  <si>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</si>
  <si>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</si>
  <si>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</si>
  <si>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</si>
  <si>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</si>
  <si>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</si>
  <si>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</si>
  <si>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</si>
  <si>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</si>
  <si>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</si>
  <si>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</si>
  <si>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</si>
  <si>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</si>
  <si>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</si>
  <si>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</si>
  <si>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</si>
  <si>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</si>
  <si>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</si>
  <si>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</si>
  <si>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</si>
  <si>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</si>
  <si>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</si>
  <si>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</si>
  <si>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</si>
  <si>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</si>
  <si>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</si>
  <si>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</si>
  <si>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</si>
  <si>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</si>
  <si>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</si>
  <si>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</si>
  <si>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</si>
  <si>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</si>
  <si>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</si>
  <si>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</si>
  <si>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</si>
  <si>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PROJEKCIJA PLANA 
UKUPNO za 2020.</t>
  </si>
  <si>
    <t>PROJEKCIJA PLANA 
UKUPNO za 2021.</t>
  </si>
  <si>
    <t>UKUPNO RASHODI</t>
  </si>
  <si>
    <t>Prilog 6. PLAN IZDATAKA ZA OTPLATU GLAVNICE PRIMLJENIH ZAJMOVA</t>
  </si>
  <si>
    <t>Razdjel/Glava       ______________________________</t>
  </si>
  <si>
    <t>Izdaci za otplatu glavnice primljenih zajmova</t>
  </si>
  <si>
    <t>Izvor financiranja</t>
  </si>
  <si>
    <t>Aktivnost/ Projekt</t>
  </si>
  <si>
    <t>Konto izdatka</t>
  </si>
  <si>
    <t>Osigurano u 2020.</t>
  </si>
  <si>
    <t>Prijedlog za 
2021.</t>
  </si>
  <si>
    <t>Prijedlog za 
2022.</t>
  </si>
  <si>
    <t>Prijedlog za 
2023.</t>
  </si>
  <si>
    <t>Potpis odgovorne osobe:</t>
  </si>
  <si>
    <t>Mjesto i datum:</t>
  </si>
  <si>
    <t>Napomena:</t>
  </si>
  <si>
    <t>080</t>
  </si>
  <si>
    <t>NOVI AKT</t>
  </si>
  <si>
    <t>NAZIV AKTIVNOSTI / PROJEKTA</t>
  </si>
  <si>
    <t>Ministarstvo znanosti i obrazovanja</t>
  </si>
  <si>
    <t>Javni instituti u Republici Hrvatskoj</t>
  </si>
  <si>
    <t>Državni zavod za intelektualno vlasništvo</t>
  </si>
  <si>
    <t>21836</t>
  </si>
  <si>
    <t>Nacionalna i sveučilišna knjižnica</t>
  </si>
  <si>
    <t>21852</t>
  </si>
  <si>
    <t>Hrvatska akademska i istraživačka mreža Carnet</t>
  </si>
  <si>
    <t>21869</t>
  </si>
  <si>
    <t>Leksikografski zavod Miroslav Krleža</t>
  </si>
  <si>
    <t>23665</t>
  </si>
  <si>
    <t>Sveučilišni računski centar SRCE</t>
  </si>
  <si>
    <t>23962</t>
  </si>
  <si>
    <t>Agencija za odgoj i obrazovanje</t>
  </si>
  <si>
    <t>38487</t>
  </si>
  <si>
    <t>Agencija za znanost i visoko obrazovanje</t>
  </si>
  <si>
    <t>40883</t>
  </si>
  <si>
    <t>Nacionalni centar za vanjsko vrednovanje obrazovanja</t>
  </si>
  <si>
    <t>43335</t>
  </si>
  <si>
    <t>Agencija za mobilnost i programe Europske unije</t>
  </si>
  <si>
    <t>46173</t>
  </si>
  <si>
    <t>Agencija za strukovno obrazovanje i obrazovanje odraslih</t>
  </si>
  <si>
    <t>PODPROJEKTI (P4)</t>
  </si>
  <si>
    <t>3701</t>
  </si>
  <si>
    <t>RAZVOJ ODGOJNO OBRAZOVNOG SUSTAVA</t>
  </si>
  <si>
    <t>K768057</t>
  </si>
  <si>
    <t>OP UČINKOVITI LJUDSKI POTENCIJALI 2014.-2020., PRIORITET 1 - GARANCIJA ZA MLADE</t>
  </si>
  <si>
    <t>3801</t>
  </si>
  <si>
    <t>ULAGANJE U ZNANSTVENO ISTRAŽIVAČKU DJELATNOST</t>
  </si>
  <si>
    <t>OP KONKURENTNOST I KOHEZIJA 2014.-2020., PRIORITET 1 i 10</t>
  </si>
  <si>
    <t>3705</t>
  </si>
  <si>
    <t>VISOKO OBRAZOVANJE</t>
  </si>
  <si>
    <t>A679071</t>
  </si>
  <si>
    <t>EU PROJEKTI SVEUČILIŠTA U OSIJEKU (IZ EVIDENCIJSKIH PRIHODA)</t>
  </si>
  <si>
    <t>A679072</t>
  </si>
  <si>
    <t>EU PROJEKTI SVEUČILIŠTA U RIJECI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</si>
  <si>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</si>
  <si>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</si>
  <si>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</si>
  <si>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</si>
  <si>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</si>
  <si>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</si>
  <si>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</si>
  <si>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SVEUČILIŠTE U SPLITU (IZ EVIDENCIJSKIH PRIHODA)</t>
  </si>
  <si>
    <t>A679078</t>
  </si>
  <si>
    <t>EU PROJEKTI SVEUČILIŠTE U ZAGREBU (IZ EVIDENCIJSKIH PRIHODA)</t>
  </si>
  <si>
    <t>A679081</t>
  </si>
  <si>
    <t>EU PROJEKTI SVEUČILIŠTA SJEVER (IZ EVIDENCIJSKIH PRIHODA)</t>
  </si>
  <si>
    <t>A679115</t>
  </si>
  <si>
    <t>EU PROJEKTI SVEUČILIŠTA SLAVONSKOM BRODU (IZ EVIDENCIJSKIH PRIHODA)</t>
  </si>
  <si>
    <t>K679084</t>
  </si>
  <si>
    <t>K679106</t>
  </si>
  <si>
    <t>K679111</t>
  </si>
  <si>
    <t>A622125</t>
  </si>
  <si>
    <t>EU PROJEKTI JAVNIH INSTITUTA (IZ EVIDENCIJSKIH PRIHODA)</t>
  </si>
  <si>
    <t>K622128</t>
  </si>
  <si>
    <t>3803</t>
  </si>
  <si>
    <t>RAZVOJ INFORMACIJSKOG DRUŠTVA</t>
  </si>
  <si>
    <t>K628080</t>
  </si>
  <si>
    <t>K628081</t>
  </si>
  <si>
    <t>OP UČINKOVITI LJUDSKI POTENCIJALI 2014.-2020., PRIORITET 3 i 4</t>
  </si>
  <si>
    <t>K628087</t>
  </si>
  <si>
    <t>OP KONKURENTNOST I KOHEZIJA 2014.-2020., PRIORITETI 1 i 10</t>
  </si>
  <si>
    <t>K848038</t>
  </si>
  <si>
    <t>Dopušteni izvor</t>
  </si>
  <si>
    <t>Unos</t>
  </si>
  <si>
    <t>671-izvor 11</t>
  </si>
  <si>
    <t>671-izvor 12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</si>
  <si>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</si>
  <si>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</si>
  <si>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</si>
  <si>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</si>
  <si>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</si>
  <si>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</si>
  <si>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</si>
  <si>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</si>
  <si>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</si>
  <si>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</si>
  <si>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</si>
  <si>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</si>
  <si>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Nataša Ilić-Huserik</t>
  </si>
  <si>
    <t>051-265-912</t>
  </si>
  <si>
    <t>nilic@gradri.uniri.hr</t>
  </si>
  <si>
    <t>THREAD HORIZON 2020</t>
  </si>
  <si>
    <t>01.10.2019.</t>
  </si>
  <si>
    <t>30.09.2023.</t>
  </si>
  <si>
    <t>Martin-Luther-Univertitat</t>
  </si>
  <si>
    <t>Joint Training on Numerical Modelling of Highly Flexible Structures for Industrial Applications</t>
  </si>
  <si>
    <t>Univerzitet u Nišu</t>
  </si>
  <si>
    <t xml:space="preserve"> ERASMUS + SWARM PROJEKT</t>
  </si>
  <si>
    <t>15.11.2018.</t>
  </si>
  <si>
    <t>14.11.2021.</t>
  </si>
  <si>
    <t>Strengthening of master currucula management for the Wester Balkans Hels and stakeholders</t>
  </si>
  <si>
    <t>Rijeka, 19. listopada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</si>
</sst>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 applyAlignment="1"/>
    <xf numFmtId="0" fontId="56" fillId="0" borderId="39" xfId="0" applyFont="1" applyBorder="1" applyAlignment="1" applyProtection="1"/>
    <xf numFmtId="0" fontId="56" fillId="0" borderId="0" xfId="0" applyFont="1" applyBorder="1" applyAlignment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C18" workbookViewId="0">
      <selection activeCell="C4" sqref="C4:E4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</row>
    <row r="3" spans="1:28" ht="36.75" customHeight="1">
      <c r="A3" s="153"/>
      <c r="B3" s="191" t="s">
        <v>0</v>
      </c>
      <c r="C3" s="280" t="s">
        <v>180</v>
      </c>
      <c r="D3" s="281"/>
      <c r="E3" s="282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2" t="s">
        <v>2</v>
      </c>
      <c r="C4" s="283" t="s">
        <v>2349</v>
      </c>
      <c r="D4" s="284"/>
      <c r="E4" s="285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2" t="s">
        <v>3</v>
      </c>
      <c r="C5" s="283" t="s">
        <v>2336</v>
      </c>
      <c r="D5" s="284"/>
      <c r="E5" s="285"/>
      <c r="F5" s="153"/>
      <c r="G5" s="153"/>
      <c r="H5" s="153"/>
      <c r="I5" s="153"/>
      <c r="J5" s="153"/>
      <c r="K5" s="155" t="s">
        <v>4</v>
      </c>
      <c r="L5" s="155" t="s">
        <v>5</v>
      </c>
      <c r="M5" s="155" t="s">
        <v>6</v>
      </c>
      <c r="N5" s="155" t="s">
        <v>7</v>
      </c>
      <c r="O5" s="155" t="s">
        <v>8</v>
      </c>
      <c r="P5" s="155" t="s">
        <v>9</v>
      </c>
      <c r="Q5" s="155" t="s">
        <v>10</v>
      </c>
      <c r="R5" s="155" t="s">
        <v>11</v>
      </c>
      <c r="S5" s="155" t="s">
        <v>12</v>
      </c>
      <c r="T5" s="155" t="s">
        <v>13</v>
      </c>
      <c r="U5" s="156" t="s">
        <v>14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2" t="s">
        <v>15</v>
      </c>
      <c r="C6" s="283" t="s">
        <v>2337</v>
      </c>
      <c r="D6" s="284"/>
      <c r="E6" s="285"/>
      <c r="F6" s="153"/>
      <c r="G6" s="153"/>
      <c r="H6" s="153"/>
      <c r="I6" s="153"/>
      <c r="J6" s="153"/>
      <c r="K6" s="275">
        <v>0</v>
      </c>
      <c r="L6" s="275" t="s">
        <v>1</v>
      </c>
      <c r="M6" s="275"/>
      <c r="N6" s="275"/>
      <c r="O6" s="275"/>
      <c r="P6" s="275"/>
      <c r="Q6" s="275"/>
      <c r="R6" s="275"/>
      <c r="S6" s="275"/>
      <c r="T6" s="275" t="s">
        <v>16</v>
      </c>
      <c r="U6" s="275" t="s">
        <v>16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2" t="s">
        <v>17</v>
      </c>
      <c r="C7" s="283" t="s">
        <v>2338</v>
      </c>
      <c r="D7" s="284"/>
      <c r="E7" s="285"/>
      <c r="F7" s="153"/>
      <c r="G7" s="153"/>
      <c r="H7" s="153"/>
      <c r="I7" s="153"/>
      <c r="J7" s="153"/>
      <c r="K7" s="235">
        <f t="shared" ref="K7:K34" si="0">+K6+1</f>
        <v>1</v>
      </c>
      <c r="L7" s="233" t="s">
        <v>18</v>
      </c>
      <c r="M7" s="233">
        <v>1222</v>
      </c>
      <c r="N7" s="236" t="s">
        <v>19</v>
      </c>
      <c r="O7" s="237"/>
      <c r="P7" s="242"/>
      <c r="Q7" s="236"/>
      <c r="R7" s="234"/>
      <c r="S7" s="230"/>
      <c r="T7" s="231" t="s">
        <v>20</v>
      </c>
      <c r="U7" s="232" t="s">
        <v>21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5">
        <f t="shared" si="0"/>
        <v>2</v>
      </c>
      <c r="L8" s="233" t="s">
        <v>22</v>
      </c>
      <c r="M8" s="233">
        <v>1757</v>
      </c>
      <c r="N8" s="236" t="s">
        <v>23</v>
      </c>
      <c r="O8" s="237" t="s">
        <v>24</v>
      </c>
      <c r="P8" s="236" t="s">
        <v>25</v>
      </c>
      <c r="Q8" s="236" t="s">
        <v>26</v>
      </c>
      <c r="R8" s="234">
        <v>3276643</v>
      </c>
      <c r="S8" s="230" t="s">
        <v>27</v>
      </c>
      <c r="T8" s="231" t="s">
        <v>28</v>
      </c>
      <c r="U8" s="232" t="s">
        <v>29</v>
      </c>
      <c r="V8" s="153"/>
      <c r="W8" s="153"/>
      <c r="X8" s="153"/>
      <c r="Y8" s="153"/>
      <c r="Z8" s="153"/>
      <c r="AA8" s="153"/>
      <c r="AB8" s="153"/>
    </row>
    <row r="9" spans="1:28" ht="28.5" customHeight="1">
      <c r="A9" s="275"/>
      <c r="B9" s="288" t="s">
        <v>30</v>
      </c>
      <c r="C9" s="287"/>
      <c r="D9" s="287"/>
      <c r="E9" s="287"/>
      <c r="F9" s="153"/>
      <c r="G9" s="153"/>
      <c r="H9" s="153"/>
      <c r="I9" s="153"/>
      <c r="J9" s="153"/>
      <c r="K9" s="235">
        <f t="shared" si="0"/>
        <v>3</v>
      </c>
      <c r="L9" s="233" t="s">
        <v>31</v>
      </c>
      <c r="M9" s="233">
        <v>1781</v>
      </c>
      <c r="N9" s="236" t="s">
        <v>32</v>
      </c>
      <c r="O9" s="237" t="s">
        <v>24</v>
      </c>
      <c r="P9" s="236" t="s">
        <v>33</v>
      </c>
      <c r="Q9" s="236" t="s">
        <v>26</v>
      </c>
      <c r="R9" s="234">
        <v>3270149</v>
      </c>
      <c r="S9" s="230" t="s">
        <v>34</v>
      </c>
      <c r="T9" s="231" t="s">
        <v>28</v>
      </c>
      <c r="U9" s="232" t="s">
        <v>29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A10" s="275"/>
      <c r="B10" s="288" t="s">
        <v>35</v>
      </c>
      <c r="C10" s="287"/>
      <c r="D10" s="287"/>
      <c r="E10" s="287"/>
      <c r="F10" s="153"/>
      <c r="G10" s="153"/>
      <c r="H10" s="153"/>
      <c r="I10" s="153"/>
      <c r="J10" s="153"/>
      <c r="K10" s="235">
        <f t="shared" si="0"/>
        <v>4</v>
      </c>
      <c r="L10" s="233" t="s">
        <v>36</v>
      </c>
      <c r="M10" s="233">
        <v>1790</v>
      </c>
      <c r="N10" s="236" t="s">
        <v>37</v>
      </c>
      <c r="O10" s="244" t="s">
        <v>24</v>
      </c>
      <c r="P10" s="236" t="s">
        <v>38</v>
      </c>
      <c r="Q10" s="236" t="s">
        <v>26</v>
      </c>
      <c r="R10" s="234">
        <v>3250270</v>
      </c>
      <c r="S10" s="230" t="s">
        <v>39</v>
      </c>
      <c r="T10" s="231" t="s">
        <v>28</v>
      </c>
      <c r="U10" s="232" t="s">
        <v>29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A11" s="275"/>
      <c r="B11" s="286"/>
      <c r="C11" s="287"/>
      <c r="D11" s="287"/>
      <c r="E11" s="287"/>
      <c r="F11" s="153"/>
      <c r="G11" s="153"/>
      <c r="H11" s="153"/>
      <c r="I11" s="153"/>
      <c r="J11" s="153"/>
      <c r="K11" s="235">
        <f t="shared" si="0"/>
        <v>5</v>
      </c>
      <c r="L11" s="233" t="s">
        <v>40</v>
      </c>
      <c r="M11" s="233">
        <v>1804</v>
      </c>
      <c r="N11" s="236" t="s">
        <v>41</v>
      </c>
      <c r="O11" s="244" t="s">
        <v>24</v>
      </c>
      <c r="P11" s="236" t="s">
        <v>42</v>
      </c>
      <c r="Q11" s="236" t="s">
        <v>26</v>
      </c>
      <c r="R11" s="234">
        <v>3207064</v>
      </c>
      <c r="S11" s="230" t="s">
        <v>43</v>
      </c>
      <c r="T11" s="231" t="s">
        <v>28</v>
      </c>
      <c r="U11" s="232" t="s">
        <v>29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5">
        <f t="shared" si="0"/>
        <v>6</v>
      </c>
      <c r="L12" s="233" t="s">
        <v>44</v>
      </c>
      <c r="M12" s="233">
        <v>1812</v>
      </c>
      <c r="N12" s="236" t="s">
        <v>45</v>
      </c>
      <c r="O12" s="244" t="s">
        <v>24</v>
      </c>
      <c r="P12" s="236" t="s">
        <v>46</v>
      </c>
      <c r="Q12" s="236" t="s">
        <v>26</v>
      </c>
      <c r="R12" s="234">
        <v>3260771</v>
      </c>
      <c r="S12" s="230" t="s">
        <v>47</v>
      </c>
      <c r="T12" s="231" t="s">
        <v>28</v>
      </c>
      <c r="U12" s="232" t="s">
        <v>29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48</v>
      </c>
      <c r="D13" s="160" t="s">
        <v>49</v>
      </c>
      <c r="E13" s="160" t="s">
        <v>50</v>
      </c>
      <c r="F13" s="161"/>
      <c r="G13" s="153"/>
      <c r="H13" s="153"/>
      <c r="I13" s="153"/>
      <c r="J13" s="153"/>
      <c r="K13" s="235">
        <f t="shared" si="0"/>
        <v>7</v>
      </c>
      <c r="L13" s="233" t="s">
        <v>51</v>
      </c>
      <c r="M13" s="233">
        <v>1829</v>
      </c>
      <c r="N13" s="236" t="s">
        <v>52</v>
      </c>
      <c r="O13" s="244" t="s">
        <v>24</v>
      </c>
      <c r="P13" s="236" t="s">
        <v>53</v>
      </c>
      <c r="Q13" s="236" t="s">
        <v>26</v>
      </c>
      <c r="R13" s="234">
        <v>3276546</v>
      </c>
      <c r="S13" s="230" t="s">
        <v>54</v>
      </c>
      <c r="T13" s="231" t="s">
        <v>28</v>
      </c>
      <c r="U13" s="232" t="s">
        <v>29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55</v>
      </c>
      <c r="C14" s="163">
        <f>SUM(C15:C16)</f>
        <v>22909614</v>
      </c>
      <c r="D14" s="163">
        <f>+D15+D16</f>
        <v>23326100</v>
      </c>
      <c r="E14" s="163">
        <f>+E15+E16</f>
        <v>22424680</v>
      </c>
      <c r="F14" s="274"/>
      <c r="G14" s="153"/>
      <c r="H14" s="153"/>
      <c r="I14" s="153"/>
      <c r="J14" s="153"/>
      <c r="K14" s="235">
        <f t="shared" si="0"/>
        <v>8</v>
      </c>
      <c r="L14" s="233" t="s">
        <v>56</v>
      </c>
      <c r="M14" s="233">
        <v>1837</v>
      </c>
      <c r="N14" s="236" t="s">
        <v>57</v>
      </c>
      <c r="O14" s="244" t="s">
        <v>24</v>
      </c>
      <c r="P14" s="236" t="s">
        <v>58</v>
      </c>
      <c r="Q14" s="236" t="s">
        <v>26</v>
      </c>
      <c r="R14" s="234">
        <v>3227120</v>
      </c>
      <c r="S14" s="230" t="s">
        <v>59</v>
      </c>
      <c r="T14" s="231" t="s">
        <v>28</v>
      </c>
      <c r="U14" s="232" t="s">
        <v>29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4">
        <v>6</v>
      </c>
      <c r="B15" s="162" t="s">
        <v>60</v>
      </c>
      <c r="C15" s="165">
        <f>'PLAN PRIHODA I PRIMITAKA '!D27</f>
        <v>22909614</v>
      </c>
      <c r="D15" s="165">
        <f>'PLAN PRIHODA I PRIMITAKA '!D68</f>
        <v>23326100</v>
      </c>
      <c r="E15" s="165">
        <f>'PLAN PRIHODA I PRIMITAKA '!D109</f>
        <v>22424680</v>
      </c>
      <c r="F15" s="153"/>
      <c r="G15" s="153"/>
      <c r="H15" s="153"/>
      <c r="I15" s="153"/>
      <c r="J15" s="153"/>
      <c r="K15" s="235">
        <f t="shared" si="0"/>
        <v>9</v>
      </c>
      <c r="L15" s="233" t="s">
        <v>61</v>
      </c>
      <c r="M15" s="233">
        <v>1845</v>
      </c>
      <c r="N15" s="236" t="s">
        <v>62</v>
      </c>
      <c r="O15" s="244" t="s">
        <v>24</v>
      </c>
      <c r="P15" s="236" t="s">
        <v>63</v>
      </c>
      <c r="Q15" s="236" t="s">
        <v>26</v>
      </c>
      <c r="R15" s="234">
        <v>3207102</v>
      </c>
      <c r="S15" s="230" t="s">
        <v>64</v>
      </c>
      <c r="T15" s="231" t="s">
        <v>28</v>
      </c>
      <c r="U15" s="232" t="s">
        <v>29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4">
        <v>7</v>
      </c>
      <c r="B16" s="166" t="s">
        <v>65</v>
      </c>
      <c r="C16" s="165">
        <f>'PLAN PRIHODA I PRIMITAKA '!D34</f>
        <v>0</v>
      </c>
      <c r="D16" s="165">
        <f>'PLAN PRIHODA I PRIMITAKA '!D75</f>
        <v>0</v>
      </c>
      <c r="E16" s="165">
        <f>'PLAN PRIHODA I PRIMITAKA '!D116</f>
        <v>0</v>
      </c>
      <c r="F16" s="153"/>
      <c r="G16" s="167"/>
      <c r="H16" s="153"/>
      <c r="I16" s="153"/>
      <c r="J16" s="153"/>
      <c r="K16" s="235">
        <f t="shared" si="0"/>
        <v>10</v>
      </c>
      <c r="L16" s="233" t="s">
        <v>66</v>
      </c>
      <c r="M16" s="233">
        <v>1853</v>
      </c>
      <c r="N16" s="236" t="s">
        <v>67</v>
      </c>
      <c r="O16" s="244" t="s">
        <v>24</v>
      </c>
      <c r="P16" s="236" t="s">
        <v>68</v>
      </c>
      <c r="Q16" s="236" t="s">
        <v>26</v>
      </c>
      <c r="R16" s="234">
        <v>3204987</v>
      </c>
      <c r="S16" s="230" t="s">
        <v>69</v>
      </c>
      <c r="T16" s="231" t="s">
        <v>28</v>
      </c>
      <c r="U16" s="232" t="s">
        <v>29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8"/>
      <c r="B17" s="166" t="s">
        <v>70</v>
      </c>
      <c r="C17" s="169">
        <f>SUM(C18:C19)</f>
        <v>23509794</v>
      </c>
      <c r="D17" s="169">
        <f>+D18+D19</f>
        <v>23995900</v>
      </c>
      <c r="E17" s="169">
        <f>+E18+E19</f>
        <v>23048180</v>
      </c>
      <c r="F17" s="153"/>
      <c r="G17" s="153"/>
      <c r="H17" s="153"/>
      <c r="I17" s="153"/>
      <c r="J17" s="153"/>
      <c r="K17" s="235">
        <f t="shared" si="0"/>
        <v>11</v>
      </c>
      <c r="L17" s="233" t="s">
        <v>71</v>
      </c>
      <c r="M17" s="233">
        <v>1861</v>
      </c>
      <c r="N17" s="236" t="s">
        <v>72</v>
      </c>
      <c r="O17" s="244" t="s">
        <v>24</v>
      </c>
      <c r="P17" s="236" t="s">
        <v>73</v>
      </c>
      <c r="Q17" s="236" t="s">
        <v>26</v>
      </c>
      <c r="R17" s="234">
        <v>3204952</v>
      </c>
      <c r="S17" s="230" t="s">
        <v>74</v>
      </c>
      <c r="T17" s="231" t="s">
        <v>28</v>
      </c>
      <c r="U17" s="232" t="s">
        <v>29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8">
        <v>3</v>
      </c>
      <c r="B18" s="162" t="s">
        <v>75</v>
      </c>
      <c r="C18" s="170">
        <f>'PLAN RASHODA I IZDATAKA'!D4</f>
        <v>22778744</v>
      </c>
      <c r="D18" s="171">
        <f>'PLAN RASHODA I IZDATAKA'!D72</f>
        <v>23267950</v>
      </c>
      <c r="E18" s="171">
        <f>'PLAN RASHODA I IZDATAKA'!D92</f>
        <v>22399537</v>
      </c>
      <c r="F18" s="153"/>
      <c r="G18" s="153"/>
      <c r="H18" s="153"/>
      <c r="I18" s="153"/>
      <c r="J18" s="153"/>
      <c r="K18" s="235">
        <f t="shared" si="0"/>
        <v>12</v>
      </c>
      <c r="L18" s="233" t="s">
        <v>76</v>
      </c>
      <c r="M18" s="233">
        <v>1870</v>
      </c>
      <c r="N18" s="236" t="s">
        <v>77</v>
      </c>
      <c r="O18" s="244" t="s">
        <v>24</v>
      </c>
      <c r="P18" s="236" t="s">
        <v>78</v>
      </c>
      <c r="Q18" s="236" t="s">
        <v>26</v>
      </c>
      <c r="R18" s="234">
        <v>3204995</v>
      </c>
      <c r="S18" s="230" t="s">
        <v>79</v>
      </c>
      <c r="T18" s="231" t="s">
        <v>28</v>
      </c>
      <c r="U18" s="232" t="s">
        <v>29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4">
        <v>4</v>
      </c>
      <c r="B19" s="166" t="s">
        <v>80</v>
      </c>
      <c r="C19" s="170">
        <f>'PLAN RASHODA I IZDATAKA'!D38</f>
        <v>731050</v>
      </c>
      <c r="D19" s="171">
        <f>'PLAN RASHODA I IZDATAKA'!D80</f>
        <v>727950</v>
      </c>
      <c r="E19" s="171">
        <f>'PLAN RASHODA I IZDATAKA'!D100</f>
        <v>648643</v>
      </c>
      <c r="F19" s="153"/>
      <c r="G19" s="153"/>
      <c r="H19" s="153"/>
      <c r="I19" s="153"/>
      <c r="J19" s="153"/>
      <c r="K19" s="235">
        <f t="shared" si="0"/>
        <v>13</v>
      </c>
      <c r="L19" s="233" t="s">
        <v>81</v>
      </c>
      <c r="M19" s="233">
        <v>1888</v>
      </c>
      <c r="N19" s="236" t="s">
        <v>82</v>
      </c>
      <c r="O19" s="244" t="s">
        <v>24</v>
      </c>
      <c r="P19" s="236" t="s">
        <v>83</v>
      </c>
      <c r="Q19" s="236" t="s">
        <v>26</v>
      </c>
      <c r="R19" s="234">
        <v>3270211</v>
      </c>
      <c r="S19" s="230" t="s">
        <v>84</v>
      </c>
      <c r="T19" s="231" t="s">
        <v>28</v>
      </c>
      <c r="U19" s="232" t="s">
        <v>29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85</v>
      </c>
      <c r="C20" s="163">
        <f>+C14-C17</f>
        <v>-600180</v>
      </c>
      <c r="D20" s="163">
        <f>+D14-D17</f>
        <v>-669800</v>
      </c>
      <c r="E20" s="163">
        <f>+E14-E17</f>
        <v>-623500</v>
      </c>
      <c r="F20" s="153"/>
      <c r="G20" s="153"/>
      <c r="H20" s="153"/>
      <c r="I20" s="153"/>
      <c r="J20" s="153"/>
      <c r="K20" s="235">
        <f t="shared" si="0"/>
        <v>14</v>
      </c>
      <c r="L20" s="233" t="s">
        <v>86</v>
      </c>
      <c r="M20" s="233">
        <v>1896</v>
      </c>
      <c r="N20" s="236" t="s">
        <v>87</v>
      </c>
      <c r="O20" s="244" t="s">
        <v>24</v>
      </c>
      <c r="P20" s="236" t="s">
        <v>88</v>
      </c>
      <c r="Q20" s="236" t="s">
        <v>26</v>
      </c>
      <c r="R20" s="234">
        <v>3281485</v>
      </c>
      <c r="S20" s="230" t="s">
        <v>89</v>
      </c>
      <c r="T20" s="231" t="s">
        <v>28</v>
      </c>
      <c r="U20" s="232" t="s">
        <v>29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A21" s="275"/>
      <c r="B21" s="286"/>
      <c r="C21" s="287"/>
      <c r="D21" s="287"/>
      <c r="E21" s="287"/>
      <c r="F21" s="153"/>
      <c r="G21" s="153"/>
      <c r="H21" s="153"/>
      <c r="I21" s="153"/>
      <c r="J21" s="153"/>
      <c r="K21" s="235">
        <f t="shared" si="0"/>
        <v>15</v>
      </c>
      <c r="L21" s="233" t="s">
        <v>90</v>
      </c>
      <c r="M21" s="233">
        <v>1907</v>
      </c>
      <c r="N21" s="236" t="s">
        <v>91</v>
      </c>
      <c r="O21" s="244" t="s">
        <v>24</v>
      </c>
      <c r="P21" s="236" t="s">
        <v>92</v>
      </c>
      <c r="Q21" s="236" t="s">
        <v>26</v>
      </c>
      <c r="R21" s="234">
        <v>3270262</v>
      </c>
      <c r="S21" s="230" t="s">
        <v>93</v>
      </c>
      <c r="T21" s="231" t="s">
        <v>28</v>
      </c>
      <c r="U21" s="232" t="s">
        <v>29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48</v>
      </c>
      <c r="D22" s="160" t="s">
        <v>49</v>
      </c>
      <c r="E22" s="160" t="s">
        <v>50</v>
      </c>
      <c r="F22" s="153"/>
      <c r="G22" s="153"/>
      <c r="H22" s="167"/>
      <c r="I22" s="153"/>
      <c r="J22" s="153"/>
      <c r="K22" s="235">
        <f t="shared" si="0"/>
        <v>16</v>
      </c>
      <c r="L22" s="233" t="s">
        <v>94</v>
      </c>
      <c r="M22" s="233">
        <v>1915</v>
      </c>
      <c r="N22" s="236" t="s">
        <v>95</v>
      </c>
      <c r="O22" s="244" t="s">
        <v>24</v>
      </c>
      <c r="P22" s="236" t="s">
        <v>96</v>
      </c>
      <c r="Q22" s="236" t="s">
        <v>26</v>
      </c>
      <c r="R22" s="234">
        <v>3225909</v>
      </c>
      <c r="S22" s="230" t="s">
        <v>97</v>
      </c>
      <c r="T22" s="231" t="s">
        <v>28</v>
      </c>
      <c r="U22" s="232" t="s">
        <v>29</v>
      </c>
      <c r="V22" s="153"/>
      <c r="W22" s="153"/>
      <c r="X22" s="153"/>
      <c r="Y22" s="153"/>
      <c r="Z22" s="153"/>
      <c r="AA22" s="153"/>
      <c r="AB22" s="153"/>
    </row>
    <row r="23" spans="1:28" ht="30">
      <c r="A23" s="172" t="s">
        <v>98</v>
      </c>
      <c r="B23" s="172" t="s">
        <v>99</v>
      </c>
      <c r="C23" s="170">
        <f>'PLAN PRIHODA I PRIMITAKA '!D5</f>
        <v>1893480</v>
      </c>
      <c r="D23" s="170">
        <f>'PLAN PRIHODA I PRIMITAKA '!D46</f>
        <v>1293300</v>
      </c>
      <c r="E23" s="170">
        <f>'PLAN PRIHODA I PRIMITAKA '!D87</f>
        <v>623500</v>
      </c>
      <c r="F23" s="153"/>
      <c r="G23" s="153"/>
      <c r="H23" s="173"/>
      <c r="I23" s="153"/>
      <c r="J23" s="153"/>
      <c r="K23" s="235">
        <f t="shared" si="0"/>
        <v>17</v>
      </c>
      <c r="L23" s="233" t="s">
        <v>100</v>
      </c>
      <c r="M23" s="233">
        <v>1923</v>
      </c>
      <c r="N23" s="236" t="s">
        <v>101</v>
      </c>
      <c r="O23" s="244" t="s">
        <v>24</v>
      </c>
      <c r="P23" s="236" t="s">
        <v>102</v>
      </c>
      <c r="Q23" s="236" t="s">
        <v>26</v>
      </c>
      <c r="R23" s="234">
        <v>3283097</v>
      </c>
      <c r="S23" s="230" t="s">
        <v>103</v>
      </c>
      <c r="T23" s="231" t="s">
        <v>28</v>
      </c>
      <c r="U23" s="232" t="s">
        <v>29</v>
      </c>
      <c r="V23" s="153"/>
      <c r="W23" s="153"/>
      <c r="X23" s="153"/>
      <c r="Y23" s="153"/>
      <c r="Z23" s="153"/>
      <c r="AA23" s="153"/>
      <c r="AB23" s="153"/>
    </row>
    <row r="24" spans="1:28" ht="30">
      <c r="A24" s="172" t="s">
        <v>104</v>
      </c>
      <c r="B24" s="172" t="s">
        <v>105</v>
      </c>
      <c r="C24" s="174">
        <f>'PLAN PRIHODA I PRIMITAKA '!D7</f>
        <v>-1293300</v>
      </c>
      <c r="D24" s="174">
        <f>'PLAN PRIHODA I PRIMITAKA '!D48</f>
        <v>-623500</v>
      </c>
      <c r="E24" s="175">
        <f>'PLAN PRIHODA I PRIMITAKA '!D89</f>
        <v>0</v>
      </c>
      <c r="F24" s="153"/>
      <c r="G24" s="153"/>
      <c r="H24" s="173"/>
      <c r="I24" s="153"/>
      <c r="J24" s="153"/>
      <c r="K24" s="235">
        <f t="shared" si="0"/>
        <v>18</v>
      </c>
      <c r="L24" s="233" t="s">
        <v>106</v>
      </c>
      <c r="M24" s="233">
        <v>1931</v>
      </c>
      <c r="N24" s="236" t="s">
        <v>107</v>
      </c>
      <c r="O24" s="237" t="s">
        <v>24</v>
      </c>
      <c r="P24" s="236" t="s">
        <v>108</v>
      </c>
      <c r="Q24" s="236" t="s">
        <v>26</v>
      </c>
      <c r="R24" s="234">
        <v>3272079</v>
      </c>
      <c r="S24" s="230" t="s">
        <v>109</v>
      </c>
      <c r="T24" s="231" t="s">
        <v>28</v>
      </c>
      <c r="U24" s="232" t="s">
        <v>29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A25" s="275"/>
      <c r="B25" s="286"/>
      <c r="C25" s="287"/>
      <c r="D25" s="287"/>
      <c r="E25" s="287"/>
      <c r="F25" s="153"/>
      <c r="G25" s="153"/>
      <c r="H25" s="153"/>
      <c r="I25" s="153"/>
      <c r="J25" s="153"/>
      <c r="K25" s="235">
        <f t="shared" si="0"/>
        <v>19</v>
      </c>
      <c r="L25" s="233" t="s">
        <v>110</v>
      </c>
      <c r="M25" s="233">
        <v>1940</v>
      </c>
      <c r="N25" s="236" t="s">
        <v>111</v>
      </c>
      <c r="O25" s="237" t="s">
        <v>24</v>
      </c>
      <c r="P25" s="236" t="s">
        <v>112</v>
      </c>
      <c r="Q25" s="236" t="s">
        <v>26</v>
      </c>
      <c r="R25" s="234">
        <v>1422545</v>
      </c>
      <c r="S25" s="230" t="s">
        <v>113</v>
      </c>
      <c r="T25" s="231" t="s">
        <v>28</v>
      </c>
      <c r="U25" s="232" t="s">
        <v>29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48</v>
      </c>
      <c r="D26" s="160" t="s">
        <v>49</v>
      </c>
      <c r="E26" s="160" t="s">
        <v>50</v>
      </c>
      <c r="F26" s="153"/>
      <c r="G26" s="153"/>
      <c r="H26" s="176"/>
      <c r="I26" s="153"/>
      <c r="J26" s="153"/>
      <c r="K26" s="235">
        <f t="shared" si="0"/>
        <v>20</v>
      </c>
      <c r="L26" s="233" t="s">
        <v>114</v>
      </c>
      <c r="M26" s="233">
        <v>1958</v>
      </c>
      <c r="N26" s="236" t="s">
        <v>115</v>
      </c>
      <c r="O26" s="237" t="s">
        <v>24</v>
      </c>
      <c r="P26" s="236" t="s">
        <v>116</v>
      </c>
      <c r="Q26" s="236" t="s">
        <v>26</v>
      </c>
      <c r="R26" s="234">
        <v>3254852</v>
      </c>
      <c r="S26" s="230" t="s">
        <v>117</v>
      </c>
      <c r="T26" s="231" t="s">
        <v>28</v>
      </c>
      <c r="U26" s="232" t="s">
        <v>29</v>
      </c>
      <c r="V26" s="153"/>
      <c r="W26" s="153"/>
      <c r="X26" s="153"/>
      <c r="Y26" s="153"/>
      <c r="Z26" s="153"/>
      <c r="AA26" s="153"/>
      <c r="AB26" s="153"/>
    </row>
    <row r="27" spans="1:28" ht="30">
      <c r="A27" s="164">
        <v>8</v>
      </c>
      <c r="B27" s="162" t="s">
        <v>118</v>
      </c>
      <c r="C27" s="165">
        <f>'PLAN PRIHODA I PRIMITAKA '!D41</f>
        <v>0</v>
      </c>
      <c r="D27" s="165">
        <f>'PLAN PRIHODA I PRIMITAKA '!D82</f>
        <v>0</v>
      </c>
      <c r="E27" s="165">
        <f>'PLAN PRIHODA I PRIMITAKA '!D123</f>
        <v>0</v>
      </c>
      <c r="F27" s="153"/>
      <c r="G27" s="153"/>
      <c r="H27" s="153"/>
      <c r="I27" s="153"/>
      <c r="J27" s="153"/>
      <c r="K27" s="235">
        <f t="shared" si="0"/>
        <v>21</v>
      </c>
      <c r="L27" s="233" t="s">
        <v>119</v>
      </c>
      <c r="M27" s="233">
        <v>1966</v>
      </c>
      <c r="N27" s="236" t="s">
        <v>120</v>
      </c>
      <c r="O27" s="237" t="s">
        <v>24</v>
      </c>
      <c r="P27" s="236" t="s">
        <v>121</v>
      </c>
      <c r="Q27" s="236" t="s">
        <v>26</v>
      </c>
      <c r="R27" s="234">
        <v>3219780</v>
      </c>
      <c r="S27" s="230" t="s">
        <v>122</v>
      </c>
      <c r="T27" s="231" t="s">
        <v>28</v>
      </c>
      <c r="U27" s="232" t="s">
        <v>29</v>
      </c>
      <c r="V27" s="153"/>
      <c r="W27" s="153"/>
      <c r="X27" s="153"/>
      <c r="Y27" s="153"/>
      <c r="Z27" s="153"/>
      <c r="AA27" s="153"/>
      <c r="AB27" s="153"/>
    </row>
    <row r="28" spans="1:28" ht="30">
      <c r="A28" s="164">
        <v>5</v>
      </c>
      <c r="B28" s="162" t="s">
        <v>123</v>
      </c>
      <c r="C28" s="165">
        <f>'PLAN RASHODA I IZDATAKA'!D58</f>
        <v>0</v>
      </c>
      <c r="D28" s="165">
        <f>'PLAN RASHODA I IZDATAKA'!D86</f>
        <v>0</v>
      </c>
      <c r="E28" s="165">
        <f>'PLAN RASHODA I IZDATAKA'!D106</f>
        <v>0</v>
      </c>
      <c r="F28" s="177"/>
      <c r="G28" s="153"/>
      <c r="H28" s="153"/>
      <c r="I28" s="153"/>
      <c r="J28" s="153"/>
      <c r="K28" s="235">
        <f t="shared" si="0"/>
        <v>22</v>
      </c>
      <c r="L28" s="233" t="s">
        <v>124</v>
      </c>
      <c r="M28" s="233">
        <v>1974</v>
      </c>
      <c r="N28" s="236" t="s">
        <v>125</v>
      </c>
      <c r="O28" s="244" t="s">
        <v>24</v>
      </c>
      <c r="P28" s="236" t="s">
        <v>126</v>
      </c>
      <c r="Q28" s="236" t="s">
        <v>26</v>
      </c>
      <c r="R28" s="234">
        <v>3205029</v>
      </c>
      <c r="S28" s="230" t="s">
        <v>127</v>
      </c>
      <c r="T28" s="231" t="s">
        <v>28</v>
      </c>
      <c r="U28" s="232" t="s">
        <v>29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128</v>
      </c>
      <c r="C29" s="169">
        <f>+C27-C28</f>
        <v>0</v>
      </c>
      <c r="D29" s="169">
        <f>+D27-D28</f>
        <v>0</v>
      </c>
      <c r="E29" s="169">
        <f>+E27-E28</f>
        <v>0</v>
      </c>
      <c r="F29" s="153"/>
      <c r="G29" s="153"/>
      <c r="H29" s="153"/>
      <c r="I29" s="153"/>
      <c r="J29" s="153"/>
      <c r="K29" s="235">
        <f t="shared" si="0"/>
        <v>23</v>
      </c>
      <c r="L29" s="233" t="s">
        <v>129</v>
      </c>
      <c r="M29" s="233">
        <v>1982</v>
      </c>
      <c r="N29" s="236" t="s">
        <v>130</v>
      </c>
      <c r="O29" s="244" t="s">
        <v>24</v>
      </c>
      <c r="P29" s="236" t="s">
        <v>131</v>
      </c>
      <c r="Q29" s="236" t="s">
        <v>26</v>
      </c>
      <c r="R29" s="234">
        <v>3207919</v>
      </c>
      <c r="S29" s="230" t="s">
        <v>132</v>
      </c>
      <c r="T29" s="231" t="s">
        <v>28</v>
      </c>
      <c r="U29" s="232" t="s">
        <v>29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A30" s="275"/>
      <c r="B30" s="286"/>
      <c r="C30" s="287"/>
      <c r="D30" s="287"/>
      <c r="E30" s="287"/>
      <c r="F30" s="153"/>
      <c r="G30" s="153"/>
      <c r="H30" s="153"/>
      <c r="I30" s="153"/>
      <c r="J30" s="153"/>
      <c r="K30" s="235">
        <f t="shared" si="0"/>
        <v>24</v>
      </c>
      <c r="L30" s="233" t="s">
        <v>133</v>
      </c>
      <c r="M30" s="233">
        <v>1999</v>
      </c>
      <c r="N30" s="236" t="s">
        <v>134</v>
      </c>
      <c r="O30" s="244" t="s">
        <v>24</v>
      </c>
      <c r="P30" s="236" t="s">
        <v>135</v>
      </c>
      <c r="Q30" s="236" t="s">
        <v>26</v>
      </c>
      <c r="R30" s="234">
        <v>3205002</v>
      </c>
      <c r="S30" s="230" t="s">
        <v>136</v>
      </c>
      <c r="T30" s="231" t="s">
        <v>28</v>
      </c>
      <c r="U30" s="232" t="s">
        <v>29</v>
      </c>
      <c r="V30" s="153"/>
      <c r="W30" s="153"/>
      <c r="X30" s="153"/>
      <c r="Y30" s="153"/>
      <c r="Z30" s="153"/>
      <c r="AA30" s="153"/>
      <c r="AB30" s="153"/>
    </row>
    <row r="31" spans="1:28" ht="30">
      <c r="A31" s="178"/>
      <c r="B31" s="178" t="s">
        <v>137</v>
      </c>
      <c r="C31" s="179">
        <f>+C20+C23+C24+C29</f>
        <v>0</v>
      </c>
      <c r="D31" s="179">
        <f>+D20+D23+D24+D29</f>
        <v>0</v>
      </c>
      <c r="E31" s="179">
        <f>+E20+E23+E24+E29</f>
        <v>0</v>
      </c>
      <c r="F31" s="153"/>
      <c r="G31" s="180"/>
      <c r="H31" s="153"/>
      <c r="I31" s="153"/>
      <c r="J31" s="153"/>
      <c r="K31" s="235">
        <f t="shared" si="0"/>
        <v>25</v>
      </c>
      <c r="L31" s="233" t="s">
        <v>138</v>
      </c>
      <c r="M31" s="233">
        <v>2006</v>
      </c>
      <c r="N31" s="236" t="s">
        <v>139</v>
      </c>
      <c r="O31" s="244" t="s">
        <v>24</v>
      </c>
      <c r="P31" s="236" t="s">
        <v>140</v>
      </c>
      <c r="Q31" s="236" t="s">
        <v>26</v>
      </c>
      <c r="R31" s="234">
        <v>3274080</v>
      </c>
      <c r="S31" s="230" t="s">
        <v>141</v>
      </c>
      <c r="T31" s="231" t="s">
        <v>28</v>
      </c>
      <c r="U31" s="232" t="s">
        <v>29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5">
        <f t="shared" si="0"/>
        <v>26</v>
      </c>
      <c r="L32" s="233" t="s">
        <v>142</v>
      </c>
      <c r="M32" s="233">
        <v>2014</v>
      </c>
      <c r="N32" s="236" t="s">
        <v>143</v>
      </c>
      <c r="O32" s="244" t="s">
        <v>24</v>
      </c>
      <c r="P32" s="236" t="s">
        <v>144</v>
      </c>
      <c r="Q32" s="236" t="s">
        <v>26</v>
      </c>
      <c r="R32" s="234">
        <v>3205037</v>
      </c>
      <c r="S32" s="230" t="s">
        <v>145</v>
      </c>
      <c r="T32" s="231" t="s">
        <v>28</v>
      </c>
      <c r="U32" s="232" t="s">
        <v>29</v>
      </c>
      <c r="V32" s="153"/>
      <c r="W32" s="153"/>
      <c r="X32" s="153"/>
      <c r="Y32" s="153"/>
      <c r="Z32" s="153"/>
      <c r="AA32" s="153"/>
      <c r="AB32" s="153"/>
    </row>
    <row r="33" spans="1:28" ht="15">
      <c r="A33" s="181"/>
      <c r="B33" s="181"/>
      <c r="C33" s="181"/>
      <c r="D33" s="181"/>
      <c r="E33" s="181"/>
      <c r="F33" s="181"/>
      <c r="G33" s="182"/>
      <c r="H33" s="182"/>
      <c r="I33" s="182"/>
      <c r="J33" s="182"/>
      <c r="K33" s="235">
        <f t="shared" si="0"/>
        <v>27</v>
      </c>
      <c r="L33" s="233" t="s">
        <v>146</v>
      </c>
      <c r="M33" s="233">
        <v>2022</v>
      </c>
      <c r="N33" s="236" t="s">
        <v>147</v>
      </c>
      <c r="O33" s="244" t="s">
        <v>24</v>
      </c>
      <c r="P33" s="236" t="s">
        <v>148</v>
      </c>
      <c r="Q33" s="236" t="s">
        <v>26</v>
      </c>
      <c r="R33" s="234">
        <v>3225755</v>
      </c>
      <c r="S33" s="230" t="s">
        <v>149</v>
      </c>
      <c r="T33" s="231" t="s">
        <v>28</v>
      </c>
      <c r="U33" s="232" t="s">
        <v>29</v>
      </c>
      <c r="V33" s="182"/>
      <c r="W33" s="182"/>
      <c r="X33" s="182"/>
      <c r="Y33" s="182"/>
      <c r="Z33" s="182"/>
      <c r="AA33" s="182"/>
      <c r="AB33" s="182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5">
        <f t="shared" si="0"/>
        <v>28</v>
      </c>
      <c r="L34" s="233" t="s">
        <v>150</v>
      </c>
      <c r="M34" s="233">
        <v>2047</v>
      </c>
      <c r="N34" s="236" t="s">
        <v>151</v>
      </c>
      <c r="O34" s="244" t="s">
        <v>24</v>
      </c>
      <c r="P34" s="236" t="s">
        <v>63</v>
      </c>
      <c r="Q34" s="236" t="s">
        <v>26</v>
      </c>
      <c r="R34" s="234">
        <v>3207005</v>
      </c>
      <c r="S34" s="230" t="s">
        <v>152</v>
      </c>
      <c r="T34" s="231" t="s">
        <v>28</v>
      </c>
      <c r="U34" s="232" t="s">
        <v>29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5">
        <f>1</f>
        <v>1</v>
      </c>
      <c r="L35" s="233" t="s">
        <v>153</v>
      </c>
      <c r="M35" s="233">
        <v>2063</v>
      </c>
      <c r="N35" s="236" t="s">
        <v>154</v>
      </c>
      <c r="O35" s="244" t="s">
        <v>24</v>
      </c>
      <c r="P35" s="236" t="s">
        <v>155</v>
      </c>
      <c r="Q35" s="236" t="s">
        <v>156</v>
      </c>
      <c r="R35" s="234">
        <v>3006107</v>
      </c>
      <c r="S35" s="230" t="s">
        <v>157</v>
      </c>
      <c r="T35" s="231" t="s">
        <v>28</v>
      </c>
      <c r="U35" s="232" t="s">
        <v>29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5">
        <f t="shared" ref="K36:K67" si="1">+K35+1</f>
        <v>2</v>
      </c>
      <c r="L36" s="233" t="s">
        <v>158</v>
      </c>
      <c r="M36" s="233">
        <v>2071</v>
      </c>
      <c r="N36" s="236" t="s">
        <v>159</v>
      </c>
      <c r="O36" s="244" t="s">
        <v>24</v>
      </c>
      <c r="P36" s="236" t="s">
        <v>160</v>
      </c>
      <c r="Q36" s="236" t="s">
        <v>161</v>
      </c>
      <c r="R36" s="234">
        <v>3313786</v>
      </c>
      <c r="S36" s="230" t="s">
        <v>162</v>
      </c>
      <c r="T36" s="231" t="s">
        <v>28</v>
      </c>
      <c r="U36" s="232" t="s">
        <v>29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5">
        <f t="shared" si="1"/>
        <v>3</v>
      </c>
      <c r="L37" s="233" t="s">
        <v>163</v>
      </c>
      <c r="M37" s="233">
        <v>2080</v>
      </c>
      <c r="N37" s="236" t="s">
        <v>164</v>
      </c>
      <c r="O37" s="244" t="s">
        <v>24</v>
      </c>
      <c r="P37" s="236" t="s">
        <v>165</v>
      </c>
      <c r="Q37" s="236" t="s">
        <v>26</v>
      </c>
      <c r="R37" s="234">
        <v>3219763</v>
      </c>
      <c r="S37" s="230" t="s">
        <v>166</v>
      </c>
      <c r="T37" s="231" t="s">
        <v>28</v>
      </c>
      <c r="U37" s="232" t="s">
        <v>29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5">
        <f t="shared" si="1"/>
        <v>4</v>
      </c>
      <c r="L38" s="233" t="s">
        <v>167</v>
      </c>
      <c r="M38" s="233">
        <v>2102</v>
      </c>
      <c r="N38" s="236" t="s">
        <v>168</v>
      </c>
      <c r="O38" s="244" t="s">
        <v>24</v>
      </c>
      <c r="P38" s="236" t="s">
        <v>169</v>
      </c>
      <c r="Q38" s="236" t="s">
        <v>156</v>
      </c>
      <c r="R38" s="234">
        <v>3042316</v>
      </c>
      <c r="S38" s="230" t="s">
        <v>170</v>
      </c>
      <c r="T38" s="231" t="s">
        <v>28</v>
      </c>
      <c r="U38" s="232" t="s">
        <v>29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5">
        <f t="shared" si="1"/>
        <v>5</v>
      </c>
      <c r="L39" s="233" t="s">
        <v>171</v>
      </c>
      <c r="M39" s="233">
        <v>2135</v>
      </c>
      <c r="N39" s="236" t="s">
        <v>172</v>
      </c>
      <c r="O39" s="244" t="s">
        <v>24</v>
      </c>
      <c r="P39" s="236" t="s">
        <v>173</v>
      </c>
      <c r="Q39" s="236" t="s">
        <v>26</v>
      </c>
      <c r="R39" s="234">
        <v>3703088</v>
      </c>
      <c r="S39" s="230">
        <v>48987767944</v>
      </c>
      <c r="T39" s="231" t="s">
        <v>28</v>
      </c>
      <c r="U39" s="232" t="s">
        <v>29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5">
        <f t="shared" si="1"/>
        <v>6</v>
      </c>
      <c r="L40" s="233" t="s">
        <v>174</v>
      </c>
      <c r="M40" s="233">
        <v>2151</v>
      </c>
      <c r="N40" s="236" t="s">
        <v>175</v>
      </c>
      <c r="O40" s="158" t="s">
        <v>176</v>
      </c>
      <c r="P40" s="236" t="s">
        <v>177</v>
      </c>
      <c r="Q40" s="236" t="s">
        <v>178</v>
      </c>
      <c r="R40" s="234">
        <v>3334317</v>
      </c>
      <c r="S40" s="230" t="s">
        <v>179</v>
      </c>
      <c r="T40" s="231" t="s">
        <v>28</v>
      </c>
      <c r="U40" s="232" t="s">
        <v>29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5">
        <f t="shared" si="1"/>
        <v>7</v>
      </c>
      <c r="L41" s="233" t="s">
        <v>180</v>
      </c>
      <c r="M41" s="233">
        <v>2160</v>
      </c>
      <c r="N41" s="236" t="s">
        <v>181</v>
      </c>
      <c r="O41" s="243" t="s">
        <v>176</v>
      </c>
      <c r="P41" s="236" t="s">
        <v>182</v>
      </c>
      <c r="Q41" s="236" t="s">
        <v>178</v>
      </c>
      <c r="R41" s="234">
        <v>3395855</v>
      </c>
      <c r="S41" s="230" t="s">
        <v>183</v>
      </c>
      <c r="T41" s="231" t="s">
        <v>28</v>
      </c>
      <c r="U41" s="232" t="s">
        <v>29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5">
        <f t="shared" si="1"/>
        <v>8</v>
      </c>
      <c r="L42" s="233" t="s">
        <v>184</v>
      </c>
      <c r="M42" s="233">
        <v>2186</v>
      </c>
      <c r="N42" s="236" t="s">
        <v>185</v>
      </c>
      <c r="O42" s="243" t="s">
        <v>176</v>
      </c>
      <c r="P42" s="236" t="s">
        <v>186</v>
      </c>
      <c r="Q42" s="236" t="s">
        <v>178</v>
      </c>
      <c r="R42" s="234">
        <v>3328627</v>
      </c>
      <c r="S42" s="230" t="s">
        <v>187</v>
      </c>
      <c r="T42" s="231" t="s">
        <v>28</v>
      </c>
      <c r="U42" s="232" t="s">
        <v>29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5">
        <f t="shared" si="1"/>
        <v>9</v>
      </c>
      <c r="L43" s="233" t="s">
        <v>188</v>
      </c>
      <c r="M43" s="233">
        <v>2194</v>
      </c>
      <c r="N43" s="236" t="s">
        <v>189</v>
      </c>
      <c r="O43" s="243" t="s">
        <v>176</v>
      </c>
      <c r="P43" s="236" t="s">
        <v>190</v>
      </c>
      <c r="Q43" s="236" t="s">
        <v>191</v>
      </c>
      <c r="R43" s="234">
        <v>3091732</v>
      </c>
      <c r="S43" s="230" t="s">
        <v>192</v>
      </c>
      <c r="T43" s="231" t="s">
        <v>28</v>
      </c>
      <c r="U43" s="232" t="s">
        <v>29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5">
        <f t="shared" si="1"/>
        <v>10</v>
      </c>
      <c r="L44" s="233" t="s">
        <v>193</v>
      </c>
      <c r="M44" s="233">
        <v>2217</v>
      </c>
      <c r="N44" s="236" t="s">
        <v>194</v>
      </c>
      <c r="O44" s="243" t="s">
        <v>176</v>
      </c>
      <c r="P44" s="236" t="s">
        <v>195</v>
      </c>
      <c r="Q44" s="236" t="s">
        <v>178</v>
      </c>
      <c r="R44" s="234">
        <v>3328562</v>
      </c>
      <c r="S44" s="230" t="s">
        <v>196</v>
      </c>
      <c r="T44" s="231" t="s">
        <v>28</v>
      </c>
      <c r="U44" s="232" t="s">
        <v>29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5">
        <f t="shared" si="1"/>
        <v>11</v>
      </c>
      <c r="L45" s="233" t="s">
        <v>197</v>
      </c>
      <c r="M45" s="233">
        <v>2225</v>
      </c>
      <c r="N45" s="236" t="s">
        <v>198</v>
      </c>
      <c r="O45" s="243" t="s">
        <v>176</v>
      </c>
      <c r="P45" s="236" t="s">
        <v>199</v>
      </c>
      <c r="Q45" s="236" t="s">
        <v>178</v>
      </c>
      <c r="R45" s="234">
        <v>3328554</v>
      </c>
      <c r="S45" s="230" t="s">
        <v>200</v>
      </c>
      <c r="T45" s="231" t="s">
        <v>28</v>
      </c>
      <c r="U45" s="232" t="s">
        <v>29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5">
        <f t="shared" si="1"/>
        <v>12</v>
      </c>
      <c r="L46" s="233" t="s">
        <v>201</v>
      </c>
      <c r="M46" s="233">
        <v>2250</v>
      </c>
      <c r="N46" s="236" t="s">
        <v>202</v>
      </c>
      <c r="O46" s="243" t="s">
        <v>203</v>
      </c>
      <c r="P46" s="236" t="s">
        <v>204</v>
      </c>
      <c r="Q46" s="236" t="s">
        <v>205</v>
      </c>
      <c r="R46" s="234">
        <v>3397335</v>
      </c>
      <c r="S46" s="230" t="s">
        <v>206</v>
      </c>
      <c r="T46" s="231" t="s">
        <v>28</v>
      </c>
      <c r="U46" s="232" t="s">
        <v>29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5">
        <f t="shared" si="1"/>
        <v>13</v>
      </c>
      <c r="L47" s="233" t="s">
        <v>207</v>
      </c>
      <c r="M47" s="233">
        <v>2268</v>
      </c>
      <c r="N47" s="236" t="s">
        <v>208</v>
      </c>
      <c r="O47" s="243" t="s">
        <v>203</v>
      </c>
      <c r="P47" s="236" t="s">
        <v>209</v>
      </c>
      <c r="Q47" s="236" t="s">
        <v>205</v>
      </c>
      <c r="R47" s="234">
        <v>3058212</v>
      </c>
      <c r="S47" s="230" t="s">
        <v>210</v>
      </c>
      <c r="T47" s="231" t="s">
        <v>28</v>
      </c>
      <c r="U47" s="232" t="s">
        <v>29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5">
        <f t="shared" si="1"/>
        <v>14</v>
      </c>
      <c r="L48" s="233" t="s">
        <v>211</v>
      </c>
      <c r="M48" s="233">
        <v>2276</v>
      </c>
      <c r="N48" s="236" t="s">
        <v>212</v>
      </c>
      <c r="O48" s="243" t="s">
        <v>203</v>
      </c>
      <c r="P48" s="236" t="s">
        <v>213</v>
      </c>
      <c r="Q48" s="236" t="s">
        <v>205</v>
      </c>
      <c r="R48" s="234">
        <v>3058204</v>
      </c>
      <c r="S48" s="230" t="s">
        <v>214</v>
      </c>
      <c r="T48" s="231" t="s">
        <v>28</v>
      </c>
      <c r="U48" s="232" t="s">
        <v>29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5">
        <f t="shared" si="1"/>
        <v>15</v>
      </c>
      <c r="L49" s="233" t="s">
        <v>215</v>
      </c>
      <c r="M49" s="233">
        <v>2284</v>
      </c>
      <c r="N49" s="236" t="s">
        <v>216</v>
      </c>
      <c r="O49" s="243" t="s">
        <v>203</v>
      </c>
      <c r="P49" s="236" t="s">
        <v>217</v>
      </c>
      <c r="Q49" s="236" t="s">
        <v>205</v>
      </c>
      <c r="R49" s="234">
        <v>3021645</v>
      </c>
      <c r="S49" s="230" t="s">
        <v>218</v>
      </c>
      <c r="T49" s="231" t="s">
        <v>28</v>
      </c>
      <c r="U49" s="232" t="s">
        <v>29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5">
        <f t="shared" si="1"/>
        <v>16</v>
      </c>
      <c r="L50" s="233" t="s">
        <v>219</v>
      </c>
      <c r="M50" s="233">
        <v>2292</v>
      </c>
      <c r="N50" s="236" t="s">
        <v>220</v>
      </c>
      <c r="O50" s="243" t="s">
        <v>203</v>
      </c>
      <c r="P50" s="236" t="s">
        <v>221</v>
      </c>
      <c r="Q50" s="236" t="s">
        <v>222</v>
      </c>
      <c r="R50" s="234">
        <v>3014193</v>
      </c>
      <c r="S50" s="230" t="s">
        <v>223</v>
      </c>
      <c r="T50" s="231" t="s">
        <v>28</v>
      </c>
      <c r="U50" s="232" t="s">
        <v>29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5">
        <f t="shared" si="1"/>
        <v>17</v>
      </c>
      <c r="L51" s="233" t="s">
        <v>224</v>
      </c>
      <c r="M51" s="233">
        <v>2313</v>
      </c>
      <c r="N51" s="236" t="s">
        <v>225</v>
      </c>
      <c r="O51" s="243" t="s">
        <v>203</v>
      </c>
      <c r="P51" s="236" t="s">
        <v>226</v>
      </c>
      <c r="Q51" s="236" t="s">
        <v>205</v>
      </c>
      <c r="R51" s="234">
        <v>3392589</v>
      </c>
      <c r="S51" s="230" t="s">
        <v>227</v>
      </c>
      <c r="T51" s="231" t="s">
        <v>28</v>
      </c>
      <c r="U51" s="232" t="s">
        <v>29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5">
        <f t="shared" si="1"/>
        <v>18</v>
      </c>
      <c r="L52" s="233" t="s">
        <v>228</v>
      </c>
      <c r="M52" s="233">
        <v>2321</v>
      </c>
      <c r="N52" s="236" t="s">
        <v>229</v>
      </c>
      <c r="O52" s="243" t="s">
        <v>203</v>
      </c>
      <c r="P52" s="236" t="s">
        <v>230</v>
      </c>
      <c r="Q52" s="236" t="s">
        <v>205</v>
      </c>
      <c r="R52" s="234">
        <v>3014185</v>
      </c>
      <c r="S52" s="230" t="s">
        <v>231</v>
      </c>
      <c r="T52" s="231" t="s">
        <v>28</v>
      </c>
      <c r="U52" s="232" t="s">
        <v>29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5">
        <f t="shared" si="1"/>
        <v>19</v>
      </c>
      <c r="L53" s="233" t="s">
        <v>232</v>
      </c>
      <c r="M53" s="233">
        <v>2330</v>
      </c>
      <c r="N53" s="236" t="s">
        <v>233</v>
      </c>
      <c r="O53" s="237" t="s">
        <v>234</v>
      </c>
      <c r="P53" s="236" t="s">
        <v>235</v>
      </c>
      <c r="Q53" s="236" t="s">
        <v>236</v>
      </c>
      <c r="R53" s="234">
        <v>3118339</v>
      </c>
      <c r="S53" s="230" t="s">
        <v>237</v>
      </c>
      <c r="T53" s="231" t="s">
        <v>28</v>
      </c>
      <c r="U53" s="232" t="s">
        <v>29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5">
        <f t="shared" si="1"/>
        <v>20</v>
      </c>
      <c r="L54" s="233" t="s">
        <v>238</v>
      </c>
      <c r="M54" s="233">
        <v>2348</v>
      </c>
      <c r="N54" s="236" t="s">
        <v>239</v>
      </c>
      <c r="O54" s="237" t="s">
        <v>234</v>
      </c>
      <c r="P54" s="236" t="s">
        <v>240</v>
      </c>
      <c r="Q54" s="236" t="s">
        <v>236</v>
      </c>
      <c r="R54" s="234">
        <v>3149463</v>
      </c>
      <c r="S54" s="230" t="s">
        <v>241</v>
      </c>
      <c r="T54" s="231" t="s">
        <v>28</v>
      </c>
      <c r="U54" s="232" t="s">
        <v>29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5">
        <f t="shared" si="1"/>
        <v>21</v>
      </c>
      <c r="L55" s="233" t="s">
        <v>242</v>
      </c>
      <c r="M55" s="233">
        <v>2356</v>
      </c>
      <c r="N55" s="236" t="s">
        <v>243</v>
      </c>
      <c r="O55" s="237" t="s">
        <v>234</v>
      </c>
      <c r="P55" s="236" t="s">
        <v>244</v>
      </c>
      <c r="Q55" s="236" t="s">
        <v>236</v>
      </c>
      <c r="R55" s="234">
        <v>3119068</v>
      </c>
      <c r="S55" s="230" t="s">
        <v>245</v>
      </c>
      <c r="T55" s="231" t="s">
        <v>28</v>
      </c>
      <c r="U55" s="232" t="s">
        <v>29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5">
        <f t="shared" si="1"/>
        <v>22</v>
      </c>
      <c r="L56" s="233" t="s">
        <v>246</v>
      </c>
      <c r="M56" s="233">
        <v>2372</v>
      </c>
      <c r="N56" s="236" t="s">
        <v>247</v>
      </c>
      <c r="O56" s="237" t="s">
        <v>234</v>
      </c>
      <c r="P56" s="236" t="s">
        <v>248</v>
      </c>
      <c r="Q56" s="236" t="s">
        <v>236</v>
      </c>
      <c r="R56" s="234">
        <v>3119076</v>
      </c>
      <c r="S56" s="230" t="s">
        <v>249</v>
      </c>
      <c r="T56" s="231" t="s">
        <v>28</v>
      </c>
      <c r="U56" s="232" t="s">
        <v>29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5">
        <f t="shared" si="1"/>
        <v>23</v>
      </c>
      <c r="L57" s="233" t="s">
        <v>250</v>
      </c>
      <c r="M57" s="233">
        <v>2397</v>
      </c>
      <c r="N57" s="236" t="s">
        <v>251</v>
      </c>
      <c r="O57" s="237" t="s">
        <v>234</v>
      </c>
      <c r="P57" s="236" t="s">
        <v>252</v>
      </c>
      <c r="Q57" s="236" t="s">
        <v>236</v>
      </c>
      <c r="R57" s="234">
        <v>3118347</v>
      </c>
      <c r="S57" s="230" t="s">
        <v>253</v>
      </c>
      <c r="T57" s="231" t="s">
        <v>28</v>
      </c>
      <c r="U57" s="232" t="s">
        <v>29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5">
        <f t="shared" si="1"/>
        <v>24</v>
      </c>
      <c r="L58" s="233" t="s">
        <v>254</v>
      </c>
      <c r="M58" s="233">
        <v>2410</v>
      </c>
      <c r="N58" s="236" t="s">
        <v>255</v>
      </c>
      <c r="O58" s="237" t="s">
        <v>234</v>
      </c>
      <c r="P58" s="236" t="s">
        <v>256</v>
      </c>
      <c r="Q58" s="236" t="s">
        <v>236</v>
      </c>
      <c r="R58" s="234">
        <v>3199622</v>
      </c>
      <c r="S58" s="230" t="s">
        <v>257</v>
      </c>
      <c r="T58" s="231" t="s">
        <v>28</v>
      </c>
      <c r="U58" s="232" t="s">
        <v>29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5">
        <f t="shared" si="1"/>
        <v>25</v>
      </c>
      <c r="L59" s="233" t="s">
        <v>258</v>
      </c>
      <c r="M59" s="233">
        <v>2436</v>
      </c>
      <c r="N59" s="236" t="s">
        <v>24</v>
      </c>
      <c r="O59" s="237" t="s">
        <v>24</v>
      </c>
      <c r="P59" s="236" t="s">
        <v>96</v>
      </c>
      <c r="Q59" s="236" t="s">
        <v>26</v>
      </c>
      <c r="R59" s="234">
        <v>3211592</v>
      </c>
      <c r="S59" s="230" t="s">
        <v>259</v>
      </c>
      <c r="T59" s="231" t="s">
        <v>28</v>
      </c>
      <c r="U59" s="232" t="s">
        <v>29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5">
        <f t="shared" si="1"/>
        <v>26</v>
      </c>
      <c r="L60" s="233" t="s">
        <v>260</v>
      </c>
      <c r="M60" s="233">
        <v>2444</v>
      </c>
      <c r="N60" s="236" t="s">
        <v>176</v>
      </c>
      <c r="O60" s="243" t="s">
        <v>176</v>
      </c>
      <c r="P60" s="236" t="s">
        <v>261</v>
      </c>
      <c r="Q60" s="236" t="s">
        <v>178</v>
      </c>
      <c r="R60" s="234">
        <v>3337413</v>
      </c>
      <c r="S60" s="230" t="s">
        <v>262</v>
      </c>
      <c r="T60" s="231" t="s">
        <v>28</v>
      </c>
      <c r="U60" s="232" t="s">
        <v>29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5">
        <f t="shared" si="1"/>
        <v>27</v>
      </c>
      <c r="L61" s="233" t="s">
        <v>263</v>
      </c>
      <c r="M61" s="233">
        <v>2452</v>
      </c>
      <c r="N61" s="236" t="s">
        <v>203</v>
      </c>
      <c r="O61" s="243" t="s">
        <v>203</v>
      </c>
      <c r="P61" s="236" t="s">
        <v>264</v>
      </c>
      <c r="Q61" s="236" t="s">
        <v>205</v>
      </c>
      <c r="R61" s="234">
        <v>3049779</v>
      </c>
      <c r="S61" s="230" t="s">
        <v>265</v>
      </c>
      <c r="T61" s="231" t="s">
        <v>28</v>
      </c>
      <c r="U61" s="232" t="s">
        <v>29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5">
        <f t="shared" si="1"/>
        <v>28</v>
      </c>
      <c r="L62" s="233" t="s">
        <v>266</v>
      </c>
      <c r="M62" s="233">
        <v>2469</v>
      </c>
      <c r="N62" s="236" t="s">
        <v>234</v>
      </c>
      <c r="O62" s="237" t="s">
        <v>234</v>
      </c>
      <c r="P62" s="236" t="s">
        <v>267</v>
      </c>
      <c r="Q62" s="236" t="s">
        <v>236</v>
      </c>
      <c r="R62" s="234">
        <v>3129306</v>
      </c>
      <c r="S62" s="230" t="s">
        <v>268</v>
      </c>
      <c r="T62" s="231" t="s">
        <v>28</v>
      </c>
      <c r="U62" s="232" t="s">
        <v>29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5">
        <f t="shared" si="1"/>
        <v>29</v>
      </c>
      <c r="L63" s="233" t="s">
        <v>269</v>
      </c>
      <c r="M63" s="233">
        <v>2493</v>
      </c>
      <c r="N63" s="236" t="s">
        <v>270</v>
      </c>
      <c r="O63" s="243" t="s">
        <v>176</v>
      </c>
      <c r="P63" s="236" t="s">
        <v>271</v>
      </c>
      <c r="Q63" s="236" t="s">
        <v>178</v>
      </c>
      <c r="R63" s="234">
        <v>3328686</v>
      </c>
      <c r="S63" s="230" t="s">
        <v>272</v>
      </c>
      <c r="T63" s="231" t="s">
        <v>28</v>
      </c>
      <c r="U63" s="232" t="s">
        <v>29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5">
        <f t="shared" si="1"/>
        <v>30</v>
      </c>
      <c r="L64" s="233" t="s">
        <v>273</v>
      </c>
      <c r="M64" s="233">
        <v>2508</v>
      </c>
      <c r="N64" s="238" t="s">
        <v>274</v>
      </c>
      <c r="O64" s="243" t="s">
        <v>203</v>
      </c>
      <c r="P64" s="238" t="s">
        <v>275</v>
      </c>
      <c r="Q64" s="238" t="s">
        <v>205</v>
      </c>
      <c r="R64" s="239">
        <v>3014347</v>
      </c>
      <c r="S64" s="230" t="s">
        <v>276</v>
      </c>
      <c r="T64" s="231" t="s">
        <v>28</v>
      </c>
      <c r="U64" s="232" t="s">
        <v>29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5">
        <f t="shared" si="1"/>
        <v>31</v>
      </c>
      <c r="L65" s="233" t="s">
        <v>277</v>
      </c>
      <c r="M65" s="233">
        <v>2524</v>
      </c>
      <c r="N65" s="236" t="s">
        <v>278</v>
      </c>
      <c r="O65" s="237" t="s">
        <v>234</v>
      </c>
      <c r="P65" s="236" t="s">
        <v>279</v>
      </c>
      <c r="Q65" s="236" t="s">
        <v>236</v>
      </c>
      <c r="R65" s="234">
        <v>3118436</v>
      </c>
      <c r="S65" s="230" t="s">
        <v>280</v>
      </c>
      <c r="T65" s="231" t="s">
        <v>28</v>
      </c>
      <c r="U65" s="232" t="s">
        <v>29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5">
        <f t="shared" si="1"/>
        <v>32</v>
      </c>
      <c r="L66" s="233" t="s">
        <v>281</v>
      </c>
      <c r="M66" s="233">
        <v>6154</v>
      </c>
      <c r="N66" s="236" t="s">
        <v>282</v>
      </c>
      <c r="O66" s="237" t="s">
        <v>24</v>
      </c>
      <c r="P66" s="236" t="s">
        <v>283</v>
      </c>
      <c r="Q66" s="236" t="s">
        <v>26</v>
      </c>
      <c r="R66" s="234">
        <v>1235664</v>
      </c>
      <c r="S66" s="230" t="s">
        <v>284</v>
      </c>
      <c r="T66" s="231" t="s">
        <v>28</v>
      </c>
      <c r="U66" s="232" t="s">
        <v>29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5">
        <f t="shared" si="1"/>
        <v>33</v>
      </c>
      <c r="L67" s="233" t="s">
        <v>285</v>
      </c>
      <c r="M67" s="233">
        <v>21053</v>
      </c>
      <c r="N67" s="236" t="s">
        <v>286</v>
      </c>
      <c r="O67" s="237" t="s">
        <v>19</v>
      </c>
      <c r="P67" s="236" t="s">
        <v>287</v>
      </c>
      <c r="Q67" s="236" t="s">
        <v>288</v>
      </c>
      <c r="R67" s="234">
        <v>1286030</v>
      </c>
      <c r="S67" s="230" t="s">
        <v>289</v>
      </c>
      <c r="T67" s="231" t="s">
        <v>28</v>
      </c>
      <c r="U67" s="232" t="s">
        <v>29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5">
        <f t="shared" ref="K68:K99" si="2">+K67+1</f>
        <v>34</v>
      </c>
      <c r="L68" s="233" t="s">
        <v>290</v>
      </c>
      <c r="M68" s="233">
        <v>22371</v>
      </c>
      <c r="N68" s="236" t="s">
        <v>291</v>
      </c>
      <c r="O68" s="237" t="s">
        <v>19</v>
      </c>
      <c r="P68" s="236" t="s">
        <v>292</v>
      </c>
      <c r="Q68" s="236" t="s">
        <v>293</v>
      </c>
      <c r="R68" s="234">
        <v>1411942</v>
      </c>
      <c r="S68" s="230" t="s">
        <v>294</v>
      </c>
      <c r="T68" s="231" t="s">
        <v>28</v>
      </c>
      <c r="U68" s="232" t="s">
        <v>29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5">
        <f t="shared" si="2"/>
        <v>35</v>
      </c>
      <c r="L69" s="233" t="s">
        <v>295</v>
      </c>
      <c r="M69" s="233">
        <v>22398</v>
      </c>
      <c r="N69" s="236" t="s">
        <v>296</v>
      </c>
      <c r="O69" s="237" t="s">
        <v>19</v>
      </c>
      <c r="P69" s="236" t="s">
        <v>297</v>
      </c>
      <c r="Q69" s="236" t="s">
        <v>298</v>
      </c>
      <c r="R69" s="234">
        <v>1395521</v>
      </c>
      <c r="S69" s="230" t="s">
        <v>299</v>
      </c>
      <c r="T69" s="231" t="s">
        <v>28</v>
      </c>
      <c r="U69" s="232" t="s">
        <v>29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5">
        <f t="shared" si="2"/>
        <v>36</v>
      </c>
      <c r="L70" s="233" t="s">
        <v>300</v>
      </c>
      <c r="M70" s="233">
        <v>22427</v>
      </c>
      <c r="N70" s="236" t="s">
        <v>301</v>
      </c>
      <c r="O70" s="237" t="s">
        <v>19</v>
      </c>
      <c r="P70" s="236" t="s">
        <v>302</v>
      </c>
      <c r="Q70" s="236" t="s">
        <v>26</v>
      </c>
      <c r="R70" s="234">
        <v>1398270</v>
      </c>
      <c r="S70" s="230" t="s">
        <v>303</v>
      </c>
      <c r="T70" s="231" t="s">
        <v>28</v>
      </c>
      <c r="U70" s="232" t="s">
        <v>29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5">
        <f t="shared" si="2"/>
        <v>37</v>
      </c>
      <c r="L71" s="233" t="s">
        <v>304</v>
      </c>
      <c r="M71" s="233">
        <v>22435</v>
      </c>
      <c r="N71" s="236" t="s">
        <v>305</v>
      </c>
      <c r="O71" s="237" t="s">
        <v>234</v>
      </c>
      <c r="P71" s="236" t="s">
        <v>267</v>
      </c>
      <c r="Q71" s="236" t="s">
        <v>236</v>
      </c>
      <c r="R71" s="234">
        <v>1413236</v>
      </c>
      <c r="S71" s="230" t="s">
        <v>306</v>
      </c>
      <c r="T71" s="231" t="s">
        <v>28</v>
      </c>
      <c r="U71" s="232" t="s">
        <v>29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5">
        <f t="shared" si="2"/>
        <v>38</v>
      </c>
      <c r="L72" s="233" t="s">
        <v>307</v>
      </c>
      <c r="M72" s="233">
        <v>22451</v>
      </c>
      <c r="N72" s="236" t="s">
        <v>308</v>
      </c>
      <c r="O72" s="237" t="s">
        <v>234</v>
      </c>
      <c r="P72" s="236" t="s">
        <v>309</v>
      </c>
      <c r="Q72" s="236" t="s">
        <v>236</v>
      </c>
      <c r="R72" s="234">
        <v>1315366</v>
      </c>
      <c r="S72" s="230" t="s">
        <v>310</v>
      </c>
      <c r="T72" s="231" t="s">
        <v>28</v>
      </c>
      <c r="U72" s="232" t="s">
        <v>29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5">
        <f t="shared" si="2"/>
        <v>39</v>
      </c>
      <c r="L73" s="233" t="s">
        <v>311</v>
      </c>
      <c r="M73" s="233">
        <v>22460</v>
      </c>
      <c r="N73" s="236" t="s">
        <v>312</v>
      </c>
      <c r="O73" s="237" t="s">
        <v>234</v>
      </c>
      <c r="P73" s="236" t="s">
        <v>313</v>
      </c>
      <c r="Q73" s="236" t="s">
        <v>236</v>
      </c>
      <c r="R73" s="234">
        <v>1406043</v>
      </c>
      <c r="S73" s="230" t="s">
        <v>314</v>
      </c>
      <c r="T73" s="231" t="s">
        <v>28</v>
      </c>
      <c r="U73" s="232" t="s">
        <v>29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5">
        <f t="shared" si="2"/>
        <v>40</v>
      </c>
      <c r="L74" s="233" t="s">
        <v>315</v>
      </c>
      <c r="M74" s="233">
        <v>22478</v>
      </c>
      <c r="N74" s="236" t="s">
        <v>316</v>
      </c>
      <c r="O74" s="237" t="s">
        <v>234</v>
      </c>
      <c r="P74" s="236" t="s">
        <v>317</v>
      </c>
      <c r="Q74" s="236" t="s">
        <v>236</v>
      </c>
      <c r="R74" s="234">
        <v>1321358</v>
      </c>
      <c r="S74" s="230" t="s">
        <v>318</v>
      </c>
      <c r="T74" s="231" t="s">
        <v>28</v>
      </c>
      <c r="U74" s="232" t="s">
        <v>29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5">
        <f t="shared" si="2"/>
        <v>41</v>
      </c>
      <c r="L75" s="233" t="s">
        <v>319</v>
      </c>
      <c r="M75" s="233">
        <v>22486</v>
      </c>
      <c r="N75" s="236" t="s">
        <v>320</v>
      </c>
      <c r="O75" s="243" t="s">
        <v>203</v>
      </c>
      <c r="P75" s="236" t="s">
        <v>321</v>
      </c>
      <c r="Q75" s="236" t="s">
        <v>205</v>
      </c>
      <c r="R75" s="234">
        <v>1404881</v>
      </c>
      <c r="S75" s="230" t="s">
        <v>322</v>
      </c>
      <c r="T75" s="231" t="s">
        <v>28</v>
      </c>
      <c r="U75" s="232" t="s">
        <v>29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5">
        <f t="shared" si="2"/>
        <v>42</v>
      </c>
      <c r="L76" s="233" t="s">
        <v>323</v>
      </c>
      <c r="M76" s="233">
        <v>22494</v>
      </c>
      <c r="N76" s="236" t="s">
        <v>324</v>
      </c>
      <c r="O76" s="237" t="s">
        <v>19</v>
      </c>
      <c r="P76" s="236" t="s">
        <v>325</v>
      </c>
      <c r="Q76" s="236" t="s">
        <v>178</v>
      </c>
      <c r="R76" s="234">
        <v>1387332</v>
      </c>
      <c r="S76" s="230" t="s">
        <v>326</v>
      </c>
      <c r="T76" s="231" t="s">
        <v>28</v>
      </c>
      <c r="U76" s="232" t="s">
        <v>29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5">
        <f t="shared" si="2"/>
        <v>43</v>
      </c>
      <c r="L77" s="233" t="s">
        <v>327</v>
      </c>
      <c r="M77" s="233">
        <v>22568</v>
      </c>
      <c r="N77" s="236" t="s">
        <v>328</v>
      </c>
      <c r="O77" s="243" t="s">
        <v>176</v>
      </c>
      <c r="P77" s="236" t="s">
        <v>329</v>
      </c>
      <c r="Q77" s="236" t="s">
        <v>178</v>
      </c>
      <c r="R77" s="234">
        <v>1580485</v>
      </c>
      <c r="S77" s="230" t="s">
        <v>330</v>
      </c>
      <c r="T77" s="231" t="s">
        <v>28</v>
      </c>
      <c r="U77" s="232" t="s">
        <v>29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5">
        <f t="shared" si="2"/>
        <v>44</v>
      </c>
      <c r="L78" s="233" t="s">
        <v>331</v>
      </c>
      <c r="M78" s="233">
        <v>22824</v>
      </c>
      <c r="N78" s="236" t="s">
        <v>332</v>
      </c>
      <c r="O78" s="237" t="s">
        <v>19</v>
      </c>
      <c r="P78" s="236" t="s">
        <v>333</v>
      </c>
      <c r="Q78" s="236" t="s">
        <v>334</v>
      </c>
      <c r="R78" s="234">
        <v>2100673</v>
      </c>
      <c r="S78" s="230" t="s">
        <v>335</v>
      </c>
      <c r="T78" s="231" t="s">
        <v>28</v>
      </c>
      <c r="U78" s="232" t="s">
        <v>29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5">
        <f t="shared" si="2"/>
        <v>45</v>
      </c>
      <c r="L79" s="233" t="s">
        <v>336</v>
      </c>
      <c r="M79" s="233">
        <v>22832</v>
      </c>
      <c r="N79" s="236" t="s">
        <v>337</v>
      </c>
      <c r="O79" s="237" t="s">
        <v>19</v>
      </c>
      <c r="P79" s="236" t="s">
        <v>338</v>
      </c>
      <c r="Q79" s="236" t="s">
        <v>26</v>
      </c>
      <c r="R79" s="234">
        <v>1274597</v>
      </c>
      <c r="S79" s="230" t="s">
        <v>339</v>
      </c>
      <c r="T79" s="231" t="s">
        <v>28</v>
      </c>
      <c r="U79" s="232" t="s">
        <v>29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5">
        <f t="shared" si="2"/>
        <v>46</v>
      </c>
      <c r="L80" s="233" t="s">
        <v>340</v>
      </c>
      <c r="M80" s="233">
        <v>22849</v>
      </c>
      <c r="N80" s="236" t="s">
        <v>341</v>
      </c>
      <c r="O80" s="243" t="s">
        <v>203</v>
      </c>
      <c r="P80" s="236" t="s">
        <v>342</v>
      </c>
      <c r="Q80" s="236" t="s">
        <v>205</v>
      </c>
      <c r="R80" s="234">
        <v>1388142</v>
      </c>
      <c r="S80" s="230" t="s">
        <v>343</v>
      </c>
      <c r="T80" s="231" t="s">
        <v>28</v>
      </c>
      <c r="U80" s="232" t="s">
        <v>29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5">
        <f t="shared" si="2"/>
        <v>47</v>
      </c>
      <c r="L81" s="233" t="s">
        <v>344</v>
      </c>
      <c r="M81" s="233">
        <v>22857</v>
      </c>
      <c r="N81" s="236" t="s">
        <v>345</v>
      </c>
      <c r="O81" s="243" t="s">
        <v>176</v>
      </c>
      <c r="P81" s="236" t="s">
        <v>346</v>
      </c>
      <c r="Q81" s="236" t="s">
        <v>178</v>
      </c>
      <c r="R81" s="234">
        <v>3368491</v>
      </c>
      <c r="S81" s="230" t="s">
        <v>347</v>
      </c>
      <c r="T81" s="231" t="s">
        <v>28</v>
      </c>
      <c r="U81" s="232" t="s">
        <v>29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5">
        <f t="shared" si="2"/>
        <v>48</v>
      </c>
      <c r="L82" s="233" t="s">
        <v>348</v>
      </c>
      <c r="M82" s="241">
        <v>23368</v>
      </c>
      <c r="N82" s="236" t="s">
        <v>349</v>
      </c>
      <c r="O82" s="237" t="s">
        <v>234</v>
      </c>
      <c r="P82" s="236" t="s">
        <v>350</v>
      </c>
      <c r="Q82" s="236" t="s">
        <v>236</v>
      </c>
      <c r="R82" s="234">
        <v>1465643</v>
      </c>
      <c r="S82" s="230">
        <v>36149548625</v>
      </c>
      <c r="T82" s="231" t="s">
        <v>28</v>
      </c>
      <c r="U82" s="232" t="s">
        <v>29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5">
        <f t="shared" si="2"/>
        <v>49</v>
      </c>
      <c r="L83" s="233" t="s">
        <v>351</v>
      </c>
      <c r="M83" s="233">
        <v>23815</v>
      </c>
      <c r="N83" s="236" t="s">
        <v>352</v>
      </c>
      <c r="O83" s="237" t="s">
        <v>352</v>
      </c>
      <c r="P83" s="236" t="s">
        <v>353</v>
      </c>
      <c r="Q83" s="236" t="s">
        <v>354</v>
      </c>
      <c r="R83" s="234">
        <v>1695525</v>
      </c>
      <c r="S83" s="230" t="s">
        <v>355</v>
      </c>
      <c r="T83" s="231" t="s">
        <v>28</v>
      </c>
      <c r="U83" s="232" t="s">
        <v>29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5">
        <f t="shared" si="2"/>
        <v>50</v>
      </c>
      <c r="L84" s="233" t="s">
        <v>356</v>
      </c>
      <c r="M84" s="233">
        <v>24141</v>
      </c>
      <c r="N84" s="236" t="s">
        <v>357</v>
      </c>
      <c r="O84" s="237" t="s">
        <v>357</v>
      </c>
      <c r="P84" s="236" t="s">
        <v>358</v>
      </c>
      <c r="Q84" s="236" t="s">
        <v>359</v>
      </c>
      <c r="R84" s="234">
        <v>1787578</v>
      </c>
      <c r="S84" s="230" t="s">
        <v>360</v>
      </c>
      <c r="T84" s="231" t="s">
        <v>28</v>
      </c>
      <c r="U84" s="232" t="s">
        <v>29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5">
        <f t="shared" si="2"/>
        <v>51</v>
      </c>
      <c r="L85" s="233" t="s">
        <v>361</v>
      </c>
      <c r="M85" s="233">
        <v>38438</v>
      </c>
      <c r="N85" s="236" t="s">
        <v>362</v>
      </c>
      <c r="O85" s="237" t="s">
        <v>19</v>
      </c>
      <c r="P85" s="242" t="s">
        <v>363</v>
      </c>
      <c r="Q85" s="242" t="s">
        <v>364</v>
      </c>
      <c r="R85" s="234">
        <v>1963813</v>
      </c>
      <c r="S85" s="230" t="s">
        <v>365</v>
      </c>
      <c r="T85" s="231" t="s">
        <v>28</v>
      </c>
      <c r="U85" s="232" t="s">
        <v>29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5">
        <f t="shared" si="2"/>
        <v>52</v>
      </c>
      <c r="L86" s="233" t="s">
        <v>366</v>
      </c>
      <c r="M86" s="233">
        <v>38446</v>
      </c>
      <c r="N86" s="236" t="s">
        <v>367</v>
      </c>
      <c r="O86" s="237" t="s">
        <v>19</v>
      </c>
      <c r="P86" s="236" t="s">
        <v>368</v>
      </c>
      <c r="Q86" s="236" t="s">
        <v>369</v>
      </c>
      <c r="R86" s="234">
        <v>1970828</v>
      </c>
      <c r="S86" s="230" t="s">
        <v>370</v>
      </c>
      <c r="T86" s="231" t="s">
        <v>28</v>
      </c>
      <c r="U86" s="232" t="s">
        <v>29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5">
        <f t="shared" si="2"/>
        <v>53</v>
      </c>
      <c r="L87" s="233" t="s">
        <v>371</v>
      </c>
      <c r="M87" s="233">
        <v>38454</v>
      </c>
      <c r="N87" s="236" t="s">
        <v>372</v>
      </c>
      <c r="O87" s="243" t="s">
        <v>176</v>
      </c>
      <c r="P87" s="236" t="s">
        <v>373</v>
      </c>
      <c r="Q87" s="236" t="s">
        <v>178</v>
      </c>
      <c r="R87" s="234">
        <v>1954253</v>
      </c>
      <c r="S87" s="230" t="s">
        <v>374</v>
      </c>
      <c r="T87" s="231" t="s">
        <v>28</v>
      </c>
      <c r="U87" s="232" t="s">
        <v>29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5">
        <f t="shared" si="2"/>
        <v>54</v>
      </c>
      <c r="L88" s="233" t="s">
        <v>375</v>
      </c>
      <c r="M88" s="233">
        <v>38479</v>
      </c>
      <c r="N88" s="236" t="s">
        <v>376</v>
      </c>
      <c r="O88" s="243" t="s">
        <v>203</v>
      </c>
      <c r="P88" s="236" t="s">
        <v>377</v>
      </c>
      <c r="Q88" s="236" t="s">
        <v>378</v>
      </c>
      <c r="R88" s="234">
        <v>1986490</v>
      </c>
      <c r="S88" s="230" t="s">
        <v>379</v>
      </c>
      <c r="T88" s="231" t="s">
        <v>28</v>
      </c>
      <c r="U88" s="232" t="s">
        <v>29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5">
        <f t="shared" si="2"/>
        <v>55</v>
      </c>
      <c r="L89" s="233" t="s">
        <v>380</v>
      </c>
      <c r="M89" s="233">
        <v>40947</v>
      </c>
      <c r="N89" s="236" t="s">
        <v>381</v>
      </c>
      <c r="O89" s="243" t="s">
        <v>176</v>
      </c>
      <c r="P89" s="236" t="s">
        <v>382</v>
      </c>
      <c r="Q89" s="236" t="s">
        <v>178</v>
      </c>
      <c r="R89" s="234">
        <v>2116073</v>
      </c>
      <c r="S89" s="230" t="s">
        <v>383</v>
      </c>
      <c r="T89" s="231" t="s">
        <v>28</v>
      </c>
      <c r="U89" s="232" t="s">
        <v>29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5">
        <f t="shared" si="2"/>
        <v>56</v>
      </c>
      <c r="L90" s="233" t="s">
        <v>384</v>
      </c>
      <c r="M90" s="233">
        <v>41185</v>
      </c>
      <c r="N90" s="236" t="s">
        <v>385</v>
      </c>
      <c r="O90" s="237" t="s">
        <v>19</v>
      </c>
      <c r="P90" s="236" t="s">
        <v>386</v>
      </c>
      <c r="Q90" s="236" t="s">
        <v>387</v>
      </c>
      <c r="R90" s="234">
        <v>2103133</v>
      </c>
      <c r="S90" s="230" t="s">
        <v>388</v>
      </c>
      <c r="T90" s="231" t="s">
        <v>28</v>
      </c>
      <c r="U90" s="232" t="s">
        <v>29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5">
        <f t="shared" si="2"/>
        <v>57</v>
      </c>
      <c r="L91" s="233" t="s">
        <v>389</v>
      </c>
      <c r="M91" s="233">
        <v>42024</v>
      </c>
      <c r="N91" s="236" t="s">
        <v>390</v>
      </c>
      <c r="O91" s="237" t="s">
        <v>390</v>
      </c>
      <c r="P91" s="236" t="s">
        <v>391</v>
      </c>
      <c r="Q91" s="236" t="s">
        <v>392</v>
      </c>
      <c r="R91" s="234">
        <v>2161753</v>
      </c>
      <c r="S91" s="230" t="s">
        <v>393</v>
      </c>
      <c r="T91" s="231" t="s">
        <v>28</v>
      </c>
      <c r="U91" s="232" t="s">
        <v>29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5">
        <f t="shared" si="2"/>
        <v>58</v>
      </c>
      <c r="L92" s="233" t="s">
        <v>394</v>
      </c>
      <c r="M92" s="233">
        <v>42993</v>
      </c>
      <c r="N92" s="236" t="s">
        <v>395</v>
      </c>
      <c r="O92" s="237" t="s">
        <v>19</v>
      </c>
      <c r="P92" s="236" t="s">
        <v>396</v>
      </c>
      <c r="Q92" s="236" t="s">
        <v>397</v>
      </c>
      <c r="R92" s="234">
        <v>2282208</v>
      </c>
      <c r="S92" s="230" t="s">
        <v>398</v>
      </c>
      <c r="T92" s="231" t="s">
        <v>28</v>
      </c>
      <c r="U92" s="232" t="s">
        <v>29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5">
        <f t="shared" si="2"/>
        <v>59</v>
      </c>
      <c r="L93" s="233" t="s">
        <v>399</v>
      </c>
      <c r="M93" s="233">
        <v>43749</v>
      </c>
      <c r="N93" s="236" t="s">
        <v>400</v>
      </c>
      <c r="O93" s="237" t="s">
        <v>19</v>
      </c>
      <c r="P93" s="236" t="s">
        <v>401</v>
      </c>
      <c r="Q93" s="236" t="s">
        <v>402</v>
      </c>
      <c r="R93" s="234">
        <v>2382512</v>
      </c>
      <c r="S93" s="230" t="s">
        <v>403</v>
      </c>
      <c r="T93" s="231" t="s">
        <v>28</v>
      </c>
      <c r="U93" s="232" t="s">
        <v>29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5">
        <f t="shared" si="2"/>
        <v>60</v>
      </c>
      <c r="L94" s="233" t="s">
        <v>404</v>
      </c>
      <c r="M94" s="233">
        <v>43773</v>
      </c>
      <c r="N94" s="236" t="s">
        <v>405</v>
      </c>
      <c r="O94" s="237" t="s">
        <v>234</v>
      </c>
      <c r="P94" s="236" t="s">
        <v>406</v>
      </c>
      <c r="Q94" s="236" t="s">
        <v>236</v>
      </c>
      <c r="R94" s="234">
        <v>2393255</v>
      </c>
      <c r="S94" s="230" t="s">
        <v>407</v>
      </c>
      <c r="T94" s="231" t="s">
        <v>28</v>
      </c>
      <c r="U94" s="232" t="s">
        <v>29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5">
        <f t="shared" si="2"/>
        <v>61</v>
      </c>
      <c r="L95" s="233" t="s">
        <v>408</v>
      </c>
      <c r="M95" s="233">
        <v>48023</v>
      </c>
      <c r="N95" s="236" t="s">
        <v>409</v>
      </c>
      <c r="O95" s="243" t="s">
        <v>176</v>
      </c>
      <c r="P95" s="236" t="s">
        <v>410</v>
      </c>
      <c r="Q95" s="236" t="s">
        <v>178</v>
      </c>
      <c r="R95" s="240" t="s">
        <v>411</v>
      </c>
      <c r="S95" s="230" t="s">
        <v>412</v>
      </c>
      <c r="T95" s="231" t="s">
        <v>28</v>
      </c>
      <c r="U95" s="232" t="s">
        <v>29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5">
        <f t="shared" si="2"/>
        <v>62</v>
      </c>
      <c r="L96" s="233" t="s">
        <v>413</v>
      </c>
      <c r="M96" s="233">
        <v>48267</v>
      </c>
      <c r="N96" s="236" t="s">
        <v>414</v>
      </c>
      <c r="O96" s="237" t="s">
        <v>414</v>
      </c>
      <c r="P96" s="236" t="s">
        <v>415</v>
      </c>
      <c r="Q96" s="236" t="s">
        <v>416</v>
      </c>
      <c r="R96" s="234">
        <v>2752298</v>
      </c>
      <c r="S96" s="230" t="s">
        <v>417</v>
      </c>
      <c r="T96" s="231" t="s">
        <v>28</v>
      </c>
      <c r="U96" s="232" t="s">
        <v>29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5">
        <f t="shared" si="2"/>
        <v>63</v>
      </c>
      <c r="L97" s="233" t="s">
        <v>418</v>
      </c>
      <c r="M97" s="233">
        <v>49796</v>
      </c>
      <c r="N97" s="236" t="s">
        <v>419</v>
      </c>
      <c r="O97" s="243" t="s">
        <v>203</v>
      </c>
      <c r="P97" s="236" t="s">
        <v>420</v>
      </c>
      <c r="Q97" s="236" t="s">
        <v>205</v>
      </c>
      <c r="R97" s="234">
        <v>4748875</v>
      </c>
      <c r="S97" s="230" t="s">
        <v>421</v>
      </c>
      <c r="T97" s="231" t="s">
        <v>28</v>
      </c>
      <c r="U97" s="232" t="s">
        <v>29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5">
        <f t="shared" si="2"/>
        <v>64</v>
      </c>
      <c r="L98" s="233" t="s">
        <v>422</v>
      </c>
      <c r="M98" s="233">
        <v>50215</v>
      </c>
      <c r="N98" s="236" t="s">
        <v>423</v>
      </c>
      <c r="O98" s="243" t="s">
        <v>203</v>
      </c>
      <c r="P98" s="236" t="s">
        <v>424</v>
      </c>
      <c r="Q98" s="236" t="s">
        <v>205</v>
      </c>
      <c r="R98" s="234">
        <v>4907361</v>
      </c>
      <c r="S98" s="230" t="s">
        <v>425</v>
      </c>
      <c r="T98" s="231" t="s">
        <v>28</v>
      </c>
      <c r="U98" s="232" t="s">
        <v>29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5">
        <f t="shared" si="2"/>
        <v>65</v>
      </c>
      <c r="L99" s="233" t="s">
        <v>426</v>
      </c>
      <c r="M99" s="233">
        <v>50848</v>
      </c>
      <c r="N99" s="236" t="s">
        <v>427</v>
      </c>
      <c r="O99" s="237" t="s">
        <v>19</v>
      </c>
      <c r="P99" s="236" t="s">
        <v>428</v>
      </c>
      <c r="Q99" s="236" t="s">
        <v>429</v>
      </c>
      <c r="R99" s="234">
        <v>2271354</v>
      </c>
      <c r="S99" s="230" t="s">
        <v>430</v>
      </c>
      <c r="T99" s="231" t="s">
        <v>28</v>
      </c>
      <c r="U99" s="232" t="s">
        <v>29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5">
        <f t="shared" ref="K100:K136" si="3">+K99+1</f>
        <v>66</v>
      </c>
      <c r="L100" s="233" t="s">
        <v>431</v>
      </c>
      <c r="M100" s="233">
        <v>51191</v>
      </c>
      <c r="N100" s="236" t="s">
        <v>432</v>
      </c>
      <c r="O100" s="237" t="s">
        <v>24</v>
      </c>
      <c r="P100" s="236" t="s">
        <v>433</v>
      </c>
      <c r="Q100" s="236" t="s">
        <v>26</v>
      </c>
      <c r="R100" s="234">
        <v>5214068</v>
      </c>
      <c r="S100" s="230" t="s">
        <v>434</v>
      </c>
      <c r="T100" s="231" t="s">
        <v>28</v>
      </c>
      <c r="U100" s="232" t="s">
        <v>29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5">
        <f t="shared" si="3"/>
        <v>67</v>
      </c>
      <c r="L101" s="233" t="s">
        <v>435</v>
      </c>
      <c r="M101" s="233">
        <v>51360</v>
      </c>
      <c r="N101" s="236" t="s">
        <v>436</v>
      </c>
      <c r="O101" s="237" t="s">
        <v>436</v>
      </c>
      <c r="P101" s="236"/>
      <c r="Q101" s="236"/>
      <c r="R101" s="234"/>
      <c r="S101" s="230"/>
      <c r="T101" s="231" t="s">
        <v>28</v>
      </c>
      <c r="U101" s="232" t="s">
        <v>29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5">
        <f t="shared" si="3"/>
        <v>68</v>
      </c>
      <c r="L102" s="233" t="s">
        <v>437</v>
      </c>
      <c r="M102" s="233">
        <v>2900</v>
      </c>
      <c r="N102" s="236" t="s">
        <v>438</v>
      </c>
      <c r="O102" s="237" t="s">
        <v>19</v>
      </c>
      <c r="P102" s="236" t="s">
        <v>439</v>
      </c>
      <c r="Q102" s="236" t="s">
        <v>236</v>
      </c>
      <c r="R102" s="234">
        <v>3118355</v>
      </c>
      <c r="S102" s="230" t="s">
        <v>440</v>
      </c>
      <c r="T102" s="231" t="s">
        <v>441</v>
      </c>
      <c r="U102" s="232" t="s">
        <v>442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5">
        <f t="shared" si="3"/>
        <v>69</v>
      </c>
      <c r="L103" s="233" t="s">
        <v>443</v>
      </c>
      <c r="M103" s="233">
        <v>2918</v>
      </c>
      <c r="N103" s="236" t="s">
        <v>444</v>
      </c>
      <c r="O103" s="237" t="s">
        <v>19</v>
      </c>
      <c r="P103" s="236" t="s">
        <v>445</v>
      </c>
      <c r="Q103" s="236" t="s">
        <v>26</v>
      </c>
      <c r="R103" s="234">
        <v>3219925</v>
      </c>
      <c r="S103" s="230" t="s">
        <v>446</v>
      </c>
      <c r="T103" s="231" t="s">
        <v>441</v>
      </c>
      <c r="U103" s="232" t="s">
        <v>442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5">
        <f t="shared" si="3"/>
        <v>70</v>
      </c>
      <c r="L104" s="233" t="s">
        <v>447</v>
      </c>
      <c r="M104" s="233">
        <v>2934</v>
      </c>
      <c r="N104" s="236" t="s">
        <v>448</v>
      </c>
      <c r="O104" s="237" t="s">
        <v>19</v>
      </c>
      <c r="P104" s="236" t="s">
        <v>449</v>
      </c>
      <c r="Q104" s="236" t="s">
        <v>26</v>
      </c>
      <c r="R104" s="234">
        <v>3207153</v>
      </c>
      <c r="S104" s="230" t="s">
        <v>450</v>
      </c>
      <c r="T104" s="231" t="s">
        <v>441</v>
      </c>
      <c r="U104" s="232" t="s">
        <v>442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5">
        <f t="shared" si="3"/>
        <v>71</v>
      </c>
      <c r="L105" s="233" t="s">
        <v>451</v>
      </c>
      <c r="M105" s="233">
        <v>2942</v>
      </c>
      <c r="N105" s="236" t="s">
        <v>452</v>
      </c>
      <c r="O105" s="237" t="s">
        <v>19</v>
      </c>
      <c r="P105" s="236" t="s">
        <v>453</v>
      </c>
      <c r="Q105" s="236" t="s">
        <v>26</v>
      </c>
      <c r="R105" s="234">
        <v>1339958</v>
      </c>
      <c r="S105" s="230" t="s">
        <v>454</v>
      </c>
      <c r="T105" s="231" t="s">
        <v>441</v>
      </c>
      <c r="U105" s="232" t="s">
        <v>442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5">
        <f t="shared" si="3"/>
        <v>72</v>
      </c>
      <c r="L106" s="233" t="s">
        <v>455</v>
      </c>
      <c r="M106" s="233">
        <v>2959</v>
      </c>
      <c r="N106" s="236" t="s">
        <v>456</v>
      </c>
      <c r="O106" s="237" t="s">
        <v>19</v>
      </c>
      <c r="P106" s="236" t="s">
        <v>457</v>
      </c>
      <c r="Q106" s="236" t="s">
        <v>26</v>
      </c>
      <c r="R106" s="234">
        <v>3270475</v>
      </c>
      <c r="S106" s="230" t="s">
        <v>458</v>
      </c>
      <c r="T106" s="231" t="s">
        <v>441</v>
      </c>
      <c r="U106" s="232" t="s">
        <v>442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5">
        <f t="shared" si="3"/>
        <v>73</v>
      </c>
      <c r="L107" s="233" t="s">
        <v>459</v>
      </c>
      <c r="M107" s="233">
        <v>2967</v>
      </c>
      <c r="N107" s="236" t="s">
        <v>460</v>
      </c>
      <c r="O107" s="237" t="s">
        <v>19</v>
      </c>
      <c r="P107" s="236" t="s">
        <v>461</v>
      </c>
      <c r="Q107" s="236" t="s">
        <v>462</v>
      </c>
      <c r="R107" s="234">
        <v>3115879</v>
      </c>
      <c r="S107" s="230" t="s">
        <v>463</v>
      </c>
      <c r="T107" s="231" t="s">
        <v>441</v>
      </c>
      <c r="U107" s="232" t="s">
        <v>442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5">
        <f t="shared" si="3"/>
        <v>74</v>
      </c>
      <c r="L108" s="233" t="s">
        <v>464</v>
      </c>
      <c r="M108" s="233">
        <v>2975</v>
      </c>
      <c r="N108" s="236" t="s">
        <v>465</v>
      </c>
      <c r="O108" s="237" t="s">
        <v>19</v>
      </c>
      <c r="P108" s="236" t="s">
        <v>466</v>
      </c>
      <c r="Q108" s="236" t="s">
        <v>26</v>
      </c>
      <c r="R108" s="234">
        <v>3270424</v>
      </c>
      <c r="S108" s="230" t="s">
        <v>467</v>
      </c>
      <c r="T108" s="231" t="s">
        <v>441</v>
      </c>
      <c r="U108" s="232" t="s">
        <v>442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5">
        <f t="shared" si="3"/>
        <v>75</v>
      </c>
      <c r="L109" s="233" t="s">
        <v>468</v>
      </c>
      <c r="M109" s="233">
        <v>2983</v>
      </c>
      <c r="N109" s="236" t="s">
        <v>469</v>
      </c>
      <c r="O109" s="237" t="s">
        <v>19</v>
      </c>
      <c r="P109" s="236" t="s">
        <v>470</v>
      </c>
      <c r="Q109" s="236" t="s">
        <v>26</v>
      </c>
      <c r="R109" s="234">
        <v>3274098</v>
      </c>
      <c r="S109" s="230" t="s">
        <v>471</v>
      </c>
      <c r="T109" s="231" t="s">
        <v>441</v>
      </c>
      <c r="U109" s="232" t="s">
        <v>442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5">
        <f t="shared" si="3"/>
        <v>76</v>
      </c>
      <c r="L110" s="233" t="s">
        <v>472</v>
      </c>
      <c r="M110" s="233">
        <v>2991</v>
      </c>
      <c r="N110" s="236" t="s">
        <v>473</v>
      </c>
      <c r="O110" s="237" t="s">
        <v>19</v>
      </c>
      <c r="P110" s="236" t="s">
        <v>474</v>
      </c>
      <c r="Q110" s="236" t="s">
        <v>205</v>
      </c>
      <c r="R110" s="234">
        <v>3058239</v>
      </c>
      <c r="S110" s="230" t="s">
        <v>475</v>
      </c>
      <c r="T110" s="231" t="s">
        <v>441</v>
      </c>
      <c r="U110" s="232" t="s">
        <v>442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5">
        <f t="shared" si="3"/>
        <v>77</v>
      </c>
      <c r="L111" s="233" t="s">
        <v>476</v>
      </c>
      <c r="M111" s="233">
        <v>3009</v>
      </c>
      <c r="N111" s="236" t="s">
        <v>477</v>
      </c>
      <c r="O111" s="237" t="s">
        <v>19</v>
      </c>
      <c r="P111" s="236" t="s">
        <v>478</v>
      </c>
      <c r="Q111" s="236" t="s">
        <v>26</v>
      </c>
      <c r="R111" s="234">
        <v>3287572</v>
      </c>
      <c r="S111" s="230" t="s">
        <v>479</v>
      </c>
      <c r="T111" s="231" t="s">
        <v>441</v>
      </c>
      <c r="U111" s="232" t="s">
        <v>442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5">
        <f t="shared" si="3"/>
        <v>78</v>
      </c>
      <c r="L112" s="233" t="s">
        <v>480</v>
      </c>
      <c r="M112" s="233">
        <v>3025</v>
      </c>
      <c r="N112" s="236" t="s">
        <v>481</v>
      </c>
      <c r="O112" s="237" t="s">
        <v>19</v>
      </c>
      <c r="P112" s="236" t="s">
        <v>482</v>
      </c>
      <c r="Q112" s="236" t="s">
        <v>236</v>
      </c>
      <c r="R112" s="234">
        <v>3140792</v>
      </c>
      <c r="S112" s="230" t="s">
        <v>483</v>
      </c>
      <c r="T112" s="231" t="s">
        <v>441</v>
      </c>
      <c r="U112" s="232" t="s">
        <v>442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5">
        <f t="shared" si="3"/>
        <v>79</v>
      </c>
      <c r="L113" s="233" t="s">
        <v>484</v>
      </c>
      <c r="M113" s="233">
        <v>3041</v>
      </c>
      <c r="N113" s="236" t="s">
        <v>485</v>
      </c>
      <c r="O113" s="237" t="s">
        <v>19</v>
      </c>
      <c r="P113" s="236" t="s">
        <v>466</v>
      </c>
      <c r="Q113" s="236" t="s">
        <v>26</v>
      </c>
      <c r="R113" s="234">
        <v>3270289</v>
      </c>
      <c r="S113" s="230" t="s">
        <v>486</v>
      </c>
      <c r="T113" s="231" t="s">
        <v>441</v>
      </c>
      <c r="U113" s="232" t="s">
        <v>442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5">
        <f t="shared" si="3"/>
        <v>80</v>
      </c>
      <c r="L114" s="233" t="s">
        <v>487</v>
      </c>
      <c r="M114" s="233">
        <v>3050</v>
      </c>
      <c r="N114" s="236" t="s">
        <v>488</v>
      </c>
      <c r="O114" s="237" t="s">
        <v>19</v>
      </c>
      <c r="P114" s="236" t="s">
        <v>489</v>
      </c>
      <c r="Q114" s="236" t="s">
        <v>26</v>
      </c>
      <c r="R114" s="234">
        <v>3205118</v>
      </c>
      <c r="S114" s="230" t="s">
        <v>490</v>
      </c>
      <c r="T114" s="231" t="s">
        <v>441</v>
      </c>
      <c r="U114" s="232" t="s">
        <v>442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5">
        <f t="shared" si="3"/>
        <v>81</v>
      </c>
      <c r="L115" s="233" t="s">
        <v>491</v>
      </c>
      <c r="M115" s="233">
        <v>3068</v>
      </c>
      <c r="N115" s="236" t="s">
        <v>492</v>
      </c>
      <c r="O115" s="237" t="s">
        <v>19</v>
      </c>
      <c r="P115" s="236" t="s">
        <v>493</v>
      </c>
      <c r="Q115" s="236" t="s">
        <v>26</v>
      </c>
      <c r="R115" s="234">
        <v>3208001</v>
      </c>
      <c r="S115" s="230" t="s">
        <v>494</v>
      </c>
      <c r="T115" s="231" t="s">
        <v>441</v>
      </c>
      <c r="U115" s="232" t="s">
        <v>442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5">
        <f t="shared" si="3"/>
        <v>82</v>
      </c>
      <c r="L116" s="233" t="s">
        <v>495</v>
      </c>
      <c r="M116" s="233">
        <v>3076</v>
      </c>
      <c r="N116" s="236" t="s">
        <v>496</v>
      </c>
      <c r="O116" s="237" t="s">
        <v>19</v>
      </c>
      <c r="P116" s="236" t="s">
        <v>497</v>
      </c>
      <c r="Q116" s="236" t="s">
        <v>498</v>
      </c>
      <c r="R116" s="234">
        <v>3421031</v>
      </c>
      <c r="S116" s="230" t="s">
        <v>499</v>
      </c>
      <c r="T116" s="231" t="s">
        <v>441</v>
      </c>
      <c r="U116" s="232" t="s">
        <v>442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5">
        <f t="shared" si="3"/>
        <v>83</v>
      </c>
      <c r="L117" s="233" t="s">
        <v>500</v>
      </c>
      <c r="M117" s="233">
        <v>3084</v>
      </c>
      <c r="N117" s="236" t="s">
        <v>501</v>
      </c>
      <c r="O117" s="237" t="s">
        <v>19</v>
      </c>
      <c r="P117" s="236" t="s">
        <v>502</v>
      </c>
      <c r="Q117" s="236" t="s">
        <v>26</v>
      </c>
      <c r="R117" s="234">
        <v>3724042</v>
      </c>
      <c r="S117" s="230" t="s">
        <v>503</v>
      </c>
      <c r="T117" s="231" t="s">
        <v>441</v>
      </c>
      <c r="U117" s="232" t="s">
        <v>442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5">
        <f t="shared" si="3"/>
        <v>84</v>
      </c>
      <c r="L118" s="233" t="s">
        <v>504</v>
      </c>
      <c r="M118" s="233">
        <v>3092</v>
      </c>
      <c r="N118" s="236" t="s">
        <v>505</v>
      </c>
      <c r="O118" s="237" t="s">
        <v>19</v>
      </c>
      <c r="P118" s="236" t="s">
        <v>506</v>
      </c>
      <c r="Q118" s="236" t="s">
        <v>26</v>
      </c>
      <c r="R118" s="234">
        <v>3772047</v>
      </c>
      <c r="S118" s="230" t="s">
        <v>507</v>
      </c>
      <c r="T118" s="231" t="s">
        <v>441</v>
      </c>
      <c r="U118" s="232" t="s">
        <v>442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5">
        <f t="shared" si="3"/>
        <v>85</v>
      </c>
      <c r="L119" s="233" t="s">
        <v>508</v>
      </c>
      <c r="M119" s="233">
        <v>3105</v>
      </c>
      <c r="N119" s="236" t="s">
        <v>509</v>
      </c>
      <c r="O119" s="237" t="s">
        <v>19</v>
      </c>
      <c r="P119" s="236" t="s">
        <v>510</v>
      </c>
      <c r="Q119" s="236" t="s">
        <v>26</v>
      </c>
      <c r="R119" s="234">
        <v>3793028</v>
      </c>
      <c r="S119" s="230" t="s">
        <v>511</v>
      </c>
      <c r="T119" s="231" t="s">
        <v>441</v>
      </c>
      <c r="U119" s="232" t="s">
        <v>442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5">
        <f t="shared" si="3"/>
        <v>86</v>
      </c>
      <c r="L120" s="233" t="s">
        <v>512</v>
      </c>
      <c r="M120" s="233">
        <v>3113</v>
      </c>
      <c r="N120" s="236" t="s">
        <v>513</v>
      </c>
      <c r="O120" s="237" t="s">
        <v>19</v>
      </c>
      <c r="P120" s="236" t="s">
        <v>514</v>
      </c>
      <c r="Q120" s="236" t="s">
        <v>26</v>
      </c>
      <c r="R120" s="234">
        <v>3817121</v>
      </c>
      <c r="S120" s="230" t="s">
        <v>515</v>
      </c>
      <c r="T120" s="231" t="s">
        <v>441</v>
      </c>
      <c r="U120" s="232" t="s">
        <v>442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5">
        <f t="shared" si="3"/>
        <v>87</v>
      </c>
      <c r="L121" s="233" t="s">
        <v>516</v>
      </c>
      <c r="M121" s="233">
        <v>3121</v>
      </c>
      <c r="N121" s="236" t="s">
        <v>517</v>
      </c>
      <c r="O121" s="237" t="s">
        <v>19</v>
      </c>
      <c r="P121" s="236" t="s">
        <v>514</v>
      </c>
      <c r="Q121" s="236" t="s">
        <v>26</v>
      </c>
      <c r="R121" s="234">
        <v>3937658</v>
      </c>
      <c r="S121" s="230" t="s">
        <v>518</v>
      </c>
      <c r="T121" s="231" t="s">
        <v>441</v>
      </c>
      <c r="U121" s="232" t="s">
        <v>442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5">
        <f t="shared" si="3"/>
        <v>88</v>
      </c>
      <c r="L122" s="233" t="s">
        <v>519</v>
      </c>
      <c r="M122" s="233">
        <v>21061</v>
      </c>
      <c r="N122" s="236" t="s">
        <v>520</v>
      </c>
      <c r="O122" s="237" t="s">
        <v>19</v>
      </c>
      <c r="P122" s="236" t="s">
        <v>521</v>
      </c>
      <c r="Q122" s="236" t="s">
        <v>26</v>
      </c>
      <c r="R122" s="234">
        <v>1259571</v>
      </c>
      <c r="S122" s="230" t="s">
        <v>522</v>
      </c>
      <c r="T122" s="231" t="s">
        <v>441</v>
      </c>
      <c r="U122" s="232" t="s">
        <v>442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5">
        <f t="shared" si="3"/>
        <v>89</v>
      </c>
      <c r="L123" s="233" t="s">
        <v>523</v>
      </c>
      <c r="M123" s="233">
        <v>21070</v>
      </c>
      <c r="N123" s="236" t="s">
        <v>524</v>
      </c>
      <c r="O123" s="237" t="s">
        <v>19</v>
      </c>
      <c r="P123" s="236" t="s">
        <v>525</v>
      </c>
      <c r="Q123" s="236" t="s">
        <v>26</v>
      </c>
      <c r="R123" s="234">
        <v>1259563</v>
      </c>
      <c r="S123" s="230" t="s">
        <v>526</v>
      </c>
      <c r="T123" s="231" t="s">
        <v>441</v>
      </c>
      <c r="U123" s="232" t="s">
        <v>442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5">
        <f t="shared" si="3"/>
        <v>90</v>
      </c>
      <c r="L124" s="233" t="s">
        <v>527</v>
      </c>
      <c r="M124" s="233">
        <v>22525</v>
      </c>
      <c r="N124" s="236" t="s">
        <v>528</v>
      </c>
      <c r="O124" s="237" t="s">
        <v>19</v>
      </c>
      <c r="P124" s="236" t="s">
        <v>529</v>
      </c>
      <c r="Q124" s="236" t="s">
        <v>26</v>
      </c>
      <c r="R124" s="234">
        <v>3219518</v>
      </c>
      <c r="S124" s="230" t="s">
        <v>530</v>
      </c>
      <c r="T124" s="231" t="s">
        <v>441</v>
      </c>
      <c r="U124" s="232" t="s">
        <v>442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5">
        <f t="shared" si="3"/>
        <v>91</v>
      </c>
      <c r="L125" s="233" t="s">
        <v>531</v>
      </c>
      <c r="M125" s="233">
        <v>22621</v>
      </c>
      <c r="N125" s="236" t="s">
        <v>532</v>
      </c>
      <c r="O125" s="237" t="s">
        <v>19</v>
      </c>
      <c r="P125" s="236" t="s">
        <v>533</v>
      </c>
      <c r="Q125" s="236" t="s">
        <v>26</v>
      </c>
      <c r="R125" s="234">
        <v>3205177</v>
      </c>
      <c r="S125" s="230" t="s">
        <v>534</v>
      </c>
      <c r="T125" s="231" t="s">
        <v>441</v>
      </c>
      <c r="U125" s="232" t="s">
        <v>442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5">
        <f t="shared" si="3"/>
        <v>92</v>
      </c>
      <c r="L126" s="233" t="s">
        <v>535</v>
      </c>
      <c r="M126" s="233">
        <v>23286</v>
      </c>
      <c r="N126" s="236" t="s">
        <v>536</v>
      </c>
      <c r="O126" s="237" t="s">
        <v>19</v>
      </c>
      <c r="P126" s="236" t="s">
        <v>537</v>
      </c>
      <c r="Q126" s="236" t="s">
        <v>26</v>
      </c>
      <c r="R126" s="234">
        <v>3226344</v>
      </c>
      <c r="S126" s="230" t="s">
        <v>538</v>
      </c>
      <c r="T126" s="231" t="s">
        <v>441</v>
      </c>
      <c r="U126" s="232" t="s">
        <v>442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5">
        <f t="shared" si="3"/>
        <v>93</v>
      </c>
      <c r="L127" s="233" t="s">
        <v>539</v>
      </c>
      <c r="M127" s="233">
        <v>6179</v>
      </c>
      <c r="N127" s="236" t="s">
        <v>540</v>
      </c>
      <c r="O127" s="237" t="s">
        <v>19</v>
      </c>
      <c r="P127" s="236" t="s">
        <v>541</v>
      </c>
      <c r="Q127" s="236" t="s">
        <v>26</v>
      </c>
      <c r="R127" s="234">
        <v>3899772</v>
      </c>
      <c r="S127" s="230" t="s">
        <v>542</v>
      </c>
      <c r="T127" s="231" t="s">
        <v>543</v>
      </c>
      <c r="U127" s="232" t="s">
        <v>544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5">
        <f t="shared" si="3"/>
        <v>94</v>
      </c>
      <c r="L128" s="233" t="s">
        <v>545</v>
      </c>
      <c r="M128" s="233">
        <v>21836</v>
      </c>
      <c r="N128" s="236" t="s">
        <v>546</v>
      </c>
      <c r="O128" s="237" t="s">
        <v>19</v>
      </c>
      <c r="P128" s="242" t="s">
        <v>547</v>
      </c>
      <c r="Q128" s="236" t="s">
        <v>26</v>
      </c>
      <c r="R128" s="234">
        <v>3205363</v>
      </c>
      <c r="S128" s="230" t="s">
        <v>548</v>
      </c>
      <c r="T128" s="231" t="s">
        <v>549</v>
      </c>
      <c r="U128" s="232" t="s">
        <v>550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5">
        <f t="shared" si="3"/>
        <v>95</v>
      </c>
      <c r="L129" s="233" t="s">
        <v>551</v>
      </c>
      <c r="M129" s="233">
        <v>21852</v>
      </c>
      <c r="N129" s="236" t="s">
        <v>552</v>
      </c>
      <c r="O129" s="237" t="s">
        <v>19</v>
      </c>
      <c r="P129" s="242" t="s">
        <v>553</v>
      </c>
      <c r="Q129" s="236" t="s">
        <v>26</v>
      </c>
      <c r="R129" s="234">
        <v>1147820</v>
      </c>
      <c r="S129" s="230" t="s">
        <v>554</v>
      </c>
      <c r="T129" s="231" t="s">
        <v>549</v>
      </c>
      <c r="U129" s="232" t="s">
        <v>550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5">
        <f t="shared" si="3"/>
        <v>96</v>
      </c>
      <c r="L130" s="233" t="s">
        <v>555</v>
      </c>
      <c r="M130" s="233">
        <v>21869</v>
      </c>
      <c r="N130" s="236" t="s">
        <v>556</v>
      </c>
      <c r="O130" s="237" t="s">
        <v>19</v>
      </c>
      <c r="P130" s="242" t="s">
        <v>557</v>
      </c>
      <c r="Q130" s="236" t="s">
        <v>26</v>
      </c>
      <c r="R130" s="234">
        <v>3211622</v>
      </c>
      <c r="S130" s="230" t="s">
        <v>558</v>
      </c>
      <c r="T130" s="231" t="s">
        <v>549</v>
      </c>
      <c r="U130" s="232" t="s">
        <v>550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5">
        <f t="shared" si="3"/>
        <v>97</v>
      </c>
      <c r="L131" s="233" t="s">
        <v>559</v>
      </c>
      <c r="M131" s="233">
        <v>23665</v>
      </c>
      <c r="N131" s="236" t="s">
        <v>560</v>
      </c>
      <c r="O131" s="237" t="s">
        <v>19</v>
      </c>
      <c r="P131" s="242" t="s">
        <v>553</v>
      </c>
      <c r="Q131" s="236" t="s">
        <v>26</v>
      </c>
      <c r="R131" s="234">
        <v>3283020</v>
      </c>
      <c r="S131" s="230" t="s">
        <v>561</v>
      </c>
      <c r="T131" s="231" t="s">
        <v>549</v>
      </c>
      <c r="U131" s="232" t="s">
        <v>550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5">
        <f t="shared" si="3"/>
        <v>98</v>
      </c>
      <c r="L132" s="233" t="s">
        <v>562</v>
      </c>
      <c r="M132" s="233">
        <v>23962</v>
      </c>
      <c r="N132" s="236" t="s">
        <v>563</v>
      </c>
      <c r="O132" s="237" t="s">
        <v>19</v>
      </c>
      <c r="P132" s="236" t="s">
        <v>564</v>
      </c>
      <c r="Q132" s="236" t="s">
        <v>26</v>
      </c>
      <c r="R132" s="234">
        <v>1778129</v>
      </c>
      <c r="S132" s="230" t="s">
        <v>565</v>
      </c>
      <c r="T132" s="231" t="s">
        <v>549</v>
      </c>
      <c r="U132" s="232" t="s">
        <v>550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5">
        <f t="shared" si="3"/>
        <v>99</v>
      </c>
      <c r="L133" s="233" t="s">
        <v>566</v>
      </c>
      <c r="M133" s="233">
        <v>38487</v>
      </c>
      <c r="N133" s="236" t="s">
        <v>567</v>
      </c>
      <c r="O133" s="237" t="s">
        <v>19</v>
      </c>
      <c r="P133" s="242" t="s">
        <v>568</v>
      </c>
      <c r="Q133" s="236" t="s">
        <v>26</v>
      </c>
      <c r="R133" s="234">
        <v>1922548</v>
      </c>
      <c r="S133" s="230" t="s">
        <v>569</v>
      </c>
      <c r="T133" s="231" t="s">
        <v>549</v>
      </c>
      <c r="U133" s="232" t="s">
        <v>550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5">
        <f t="shared" si="3"/>
        <v>100</v>
      </c>
      <c r="L134" s="233" t="s">
        <v>570</v>
      </c>
      <c r="M134" s="233">
        <v>40883</v>
      </c>
      <c r="N134" s="236" t="s">
        <v>571</v>
      </c>
      <c r="O134" s="237" t="s">
        <v>19</v>
      </c>
      <c r="P134" s="242" t="s">
        <v>572</v>
      </c>
      <c r="Q134" s="236" t="s">
        <v>26</v>
      </c>
      <c r="R134" s="234">
        <v>1943430</v>
      </c>
      <c r="S134" s="230" t="s">
        <v>573</v>
      </c>
      <c r="T134" s="231" t="s">
        <v>549</v>
      </c>
      <c r="U134" s="232" t="s">
        <v>550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5">
        <f t="shared" si="3"/>
        <v>101</v>
      </c>
      <c r="L135" s="233" t="s">
        <v>574</v>
      </c>
      <c r="M135" s="233">
        <v>43335</v>
      </c>
      <c r="N135" s="236" t="s">
        <v>575</v>
      </c>
      <c r="O135" s="237" t="s">
        <v>19</v>
      </c>
      <c r="P135" s="242" t="s">
        <v>557</v>
      </c>
      <c r="Q135" s="236" t="s">
        <v>26</v>
      </c>
      <c r="R135" s="234">
        <v>2298007</v>
      </c>
      <c r="S135" s="230" t="s">
        <v>576</v>
      </c>
      <c r="T135" s="231" t="s">
        <v>549</v>
      </c>
      <c r="U135" s="232" t="s">
        <v>550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5">
        <f t="shared" si="3"/>
        <v>102</v>
      </c>
      <c r="L136" s="233" t="s">
        <v>577</v>
      </c>
      <c r="M136" s="233">
        <v>46173</v>
      </c>
      <c r="N136" s="236" t="s">
        <v>578</v>
      </c>
      <c r="O136" s="237" t="s">
        <v>19</v>
      </c>
      <c r="P136" s="242" t="s">
        <v>579</v>
      </c>
      <c r="Q136" s="236" t="s">
        <v>26</v>
      </c>
      <c r="R136" s="234">
        <v>2650029</v>
      </c>
      <c r="S136" s="230" t="s">
        <v>580</v>
      </c>
      <c r="T136" s="231" t="s">
        <v>549</v>
      </c>
      <c r="U136" s="232" t="s">
        <v>550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4" bestFit="1" customWidth="1"/>
    <col min="4" max="4" width="23.7109375" style="265" customWidth="1"/>
    <col min="5" max="5" width="12" style="264" customWidth="1"/>
    <col min="6" max="6" width="11.7109375" style="261" customWidth="1"/>
  </cols>
  <sheetData>
    <row r="1" spans="1:6" ht="20.25" thickBot="1">
      <c r="A1" s="246" t="s">
        <v>593</v>
      </c>
      <c r="B1" s="246" t="s">
        <v>2181</v>
      </c>
      <c r="C1" s="247" t="s">
        <v>2320</v>
      </c>
      <c r="D1" s="246"/>
      <c r="E1" s="247"/>
      <c r="F1" s="248" t="s">
        <v>2321</v>
      </c>
    </row>
    <row r="2" spans="1:6" ht="15.75" thickTop="1">
      <c r="A2" s="250" t="s">
        <v>590</v>
      </c>
      <c r="B2" s="251" t="s">
        <v>598</v>
      </c>
      <c r="C2" s="252">
        <v>11</v>
      </c>
      <c r="D2" s="249" t="s">
        <v>597</v>
      </c>
      <c r="E2" s="252">
        <v>671</v>
      </c>
      <c r="F2" s="250" t="s">
        <v>2322</v>
      </c>
    </row>
    <row r="3" spans="1:6">
      <c r="A3" s="250" t="s">
        <v>592</v>
      </c>
      <c r="B3" s="251" t="s">
        <v>598</v>
      </c>
      <c r="C3" s="252">
        <v>12</v>
      </c>
      <c r="D3" s="249" t="s">
        <v>599</v>
      </c>
      <c r="E3" s="252">
        <v>671</v>
      </c>
      <c r="F3" s="250" t="s">
        <v>2323</v>
      </c>
    </row>
    <row r="4" spans="1:6">
      <c r="A4" s="250">
        <v>614810041</v>
      </c>
      <c r="B4" s="251" t="s">
        <v>601</v>
      </c>
      <c r="C4" s="252">
        <v>41</v>
      </c>
      <c r="D4" s="249" t="s">
        <v>602</v>
      </c>
      <c r="E4" s="252">
        <v>614</v>
      </c>
      <c r="F4" s="250">
        <v>614810041</v>
      </c>
    </row>
    <row r="5" spans="1:6">
      <c r="A5" s="250">
        <v>614820041</v>
      </c>
      <c r="B5" s="251" t="s">
        <v>603</v>
      </c>
      <c r="C5" s="252">
        <v>41</v>
      </c>
      <c r="D5" s="249" t="s">
        <v>602</v>
      </c>
      <c r="E5" s="252">
        <v>614</v>
      </c>
      <c r="F5" s="250">
        <v>614820041</v>
      </c>
    </row>
    <row r="6" spans="1:6">
      <c r="A6" s="250">
        <v>614830041</v>
      </c>
      <c r="B6" s="251" t="s">
        <v>605</v>
      </c>
      <c r="C6" s="252">
        <v>41</v>
      </c>
      <c r="D6" s="249" t="s">
        <v>602</v>
      </c>
      <c r="E6" s="252">
        <v>614</v>
      </c>
      <c r="F6" s="250">
        <v>614830041</v>
      </c>
    </row>
    <row r="7" spans="1:6">
      <c r="A7" s="250">
        <v>614840041</v>
      </c>
      <c r="B7" s="251" t="s">
        <v>607</v>
      </c>
      <c r="C7" s="252">
        <v>41</v>
      </c>
      <c r="D7" s="249" t="s">
        <v>602</v>
      </c>
      <c r="E7" s="252">
        <v>614</v>
      </c>
      <c r="F7" s="250">
        <v>614840041</v>
      </c>
    </row>
    <row r="8" spans="1:6">
      <c r="A8" s="251">
        <v>631110000</v>
      </c>
      <c r="B8" s="251" t="s">
        <v>609</v>
      </c>
      <c r="C8" s="253">
        <v>52</v>
      </c>
      <c r="D8" s="254" t="s">
        <v>610</v>
      </c>
      <c r="E8" s="253">
        <v>631</v>
      </c>
      <c r="F8" s="251">
        <v>631110000</v>
      </c>
    </row>
    <row r="9" spans="1:6">
      <c r="A9" s="251">
        <v>631120000</v>
      </c>
      <c r="B9" s="251" t="s">
        <v>612</v>
      </c>
      <c r="C9" s="253">
        <v>52</v>
      </c>
      <c r="D9" s="254" t="s">
        <v>610</v>
      </c>
      <c r="E9" s="253">
        <v>631</v>
      </c>
      <c r="F9" s="251">
        <v>631120000</v>
      </c>
    </row>
    <row r="10" spans="1:6">
      <c r="A10" s="251">
        <v>631210000</v>
      </c>
      <c r="B10" s="251" t="s">
        <v>614</v>
      </c>
      <c r="C10" s="253">
        <v>52</v>
      </c>
      <c r="D10" s="254" t="s">
        <v>610</v>
      </c>
      <c r="E10" s="253">
        <v>631</v>
      </c>
      <c r="F10" s="267">
        <v>631210000</v>
      </c>
    </row>
    <row r="11" spans="1:6">
      <c r="A11" s="251">
        <v>631220000</v>
      </c>
      <c r="B11" s="251" t="s">
        <v>616</v>
      </c>
      <c r="C11" s="253">
        <v>52</v>
      </c>
      <c r="D11" s="254" t="s">
        <v>610</v>
      </c>
      <c r="E11" s="253">
        <v>631</v>
      </c>
      <c r="F11" s="267">
        <v>631220000</v>
      </c>
    </row>
    <row r="12" spans="1:6" s="279" customFormat="1">
      <c r="A12" s="251">
        <v>632112000</v>
      </c>
      <c r="B12" s="251" t="s">
        <v>618</v>
      </c>
      <c r="C12" s="253">
        <v>52</v>
      </c>
      <c r="D12" s="254" t="s">
        <v>610</v>
      </c>
      <c r="E12" s="253">
        <v>632</v>
      </c>
      <c r="F12" s="267">
        <v>632112000</v>
      </c>
    </row>
    <row r="13" spans="1:6" s="279" customFormat="1">
      <c r="A13" s="251">
        <v>632212000</v>
      </c>
      <c r="B13" s="251" t="s">
        <v>620</v>
      </c>
      <c r="C13" s="253">
        <v>52</v>
      </c>
      <c r="D13" s="254" t="s">
        <v>610</v>
      </c>
      <c r="E13" s="253">
        <v>632</v>
      </c>
      <c r="F13" s="267">
        <v>632212000</v>
      </c>
    </row>
    <row r="14" spans="1:6" s="279" customFormat="1">
      <c r="A14" s="250">
        <v>632310552</v>
      </c>
      <c r="B14" s="251" t="s">
        <v>622</v>
      </c>
      <c r="C14" s="252">
        <v>552</v>
      </c>
      <c r="D14" s="255" t="s">
        <v>611</v>
      </c>
      <c r="E14" s="252">
        <v>632</v>
      </c>
      <c r="F14" s="250">
        <v>632310552</v>
      </c>
    </row>
    <row r="15" spans="1:6" s="279" customFormat="1">
      <c r="A15" s="250">
        <v>632310559</v>
      </c>
      <c r="B15" s="251" t="s">
        <v>624</v>
      </c>
      <c r="C15" s="252">
        <v>559</v>
      </c>
      <c r="D15" s="255" t="s">
        <v>613</v>
      </c>
      <c r="E15" s="252">
        <v>632</v>
      </c>
      <c r="F15" s="250">
        <v>632310559</v>
      </c>
    </row>
    <row r="16" spans="1:6" s="279" customFormat="1">
      <c r="A16" s="250">
        <v>632310561</v>
      </c>
      <c r="B16" s="251" t="s">
        <v>2324</v>
      </c>
      <c r="C16" s="252">
        <v>561</v>
      </c>
      <c r="D16" s="255" t="s">
        <v>615</v>
      </c>
      <c r="E16" s="252">
        <v>561</v>
      </c>
      <c r="F16" s="250">
        <v>632310561</v>
      </c>
    </row>
    <row r="17" spans="1:6" s="279" customFormat="1">
      <c r="A17" s="250">
        <v>632310563</v>
      </c>
      <c r="B17" s="251" t="s">
        <v>2325</v>
      </c>
      <c r="C17" s="252">
        <v>563</v>
      </c>
      <c r="D17" s="255" t="s">
        <v>716</v>
      </c>
      <c r="E17" s="252">
        <v>563</v>
      </c>
      <c r="F17" s="250">
        <v>632310563</v>
      </c>
    </row>
    <row r="18" spans="1:6" s="279" customFormat="1">
      <c r="A18" s="250">
        <v>632310573</v>
      </c>
      <c r="B18" s="251" t="s">
        <v>626</v>
      </c>
      <c r="C18" s="252">
        <v>573</v>
      </c>
      <c r="D18" s="255" t="s">
        <v>619</v>
      </c>
      <c r="E18" s="252">
        <v>632</v>
      </c>
      <c r="F18" s="250">
        <v>632310573</v>
      </c>
    </row>
    <row r="19" spans="1:6" s="279" customFormat="1">
      <c r="A19" s="250">
        <v>632310575</v>
      </c>
      <c r="B19" s="251" t="s">
        <v>628</v>
      </c>
      <c r="C19" s="252">
        <v>575</v>
      </c>
      <c r="D19" s="255" t="s">
        <v>621</v>
      </c>
      <c r="E19" s="252">
        <v>632</v>
      </c>
      <c r="F19" s="250">
        <v>632310575</v>
      </c>
    </row>
    <row r="20" spans="1:6" s="279" customFormat="1">
      <c r="A20" s="250">
        <v>632310576</v>
      </c>
      <c r="B20" s="251" t="s">
        <v>630</v>
      </c>
      <c r="C20" s="252">
        <v>576</v>
      </c>
      <c r="D20" s="255" t="s">
        <v>631</v>
      </c>
      <c r="E20" s="252">
        <v>632</v>
      </c>
      <c r="F20" s="250">
        <v>632310576</v>
      </c>
    </row>
    <row r="21" spans="1:6" s="279" customFormat="1">
      <c r="A21" s="251">
        <v>632311700</v>
      </c>
      <c r="B21" s="251" t="s">
        <v>633</v>
      </c>
      <c r="C21" s="253">
        <v>51</v>
      </c>
      <c r="D21" s="254" t="s">
        <v>634</v>
      </c>
      <c r="E21" s="253">
        <v>632</v>
      </c>
      <c r="F21" s="267">
        <v>632311700</v>
      </c>
    </row>
    <row r="22" spans="1:6" s="279" customFormat="1">
      <c r="A22" s="251">
        <v>632311800</v>
      </c>
      <c r="B22" s="251" t="s">
        <v>635</v>
      </c>
      <c r="C22" s="253">
        <v>51</v>
      </c>
      <c r="D22" s="254" t="s">
        <v>634</v>
      </c>
      <c r="E22" s="253">
        <v>632</v>
      </c>
      <c r="F22" s="267">
        <v>632311800</v>
      </c>
    </row>
    <row r="23" spans="1:6" s="279" customFormat="1">
      <c r="A23" s="250">
        <v>632410552</v>
      </c>
      <c r="B23" s="251" t="s">
        <v>636</v>
      </c>
      <c r="C23" s="252">
        <v>552</v>
      </c>
      <c r="D23" s="255" t="s">
        <v>611</v>
      </c>
      <c r="E23" s="252">
        <v>632</v>
      </c>
      <c r="F23" s="250">
        <v>632410552</v>
      </c>
    </row>
    <row r="24" spans="1:6" s="279" customFormat="1">
      <c r="A24" s="250">
        <v>632410559</v>
      </c>
      <c r="B24" s="251" t="s">
        <v>637</v>
      </c>
      <c r="C24" s="252">
        <v>559</v>
      </c>
      <c r="D24" s="255" t="s">
        <v>613</v>
      </c>
      <c r="E24" s="252">
        <v>632</v>
      </c>
      <c r="F24" s="250">
        <v>632410559</v>
      </c>
    </row>
    <row r="25" spans="1:6" s="279" customFormat="1">
      <c r="A25" s="250">
        <v>632410561</v>
      </c>
      <c r="B25" s="251" t="s">
        <v>2326</v>
      </c>
      <c r="C25" s="252">
        <v>561</v>
      </c>
      <c r="D25" s="255" t="s">
        <v>615</v>
      </c>
      <c r="E25" s="252">
        <v>561</v>
      </c>
      <c r="F25" s="250">
        <v>632410561</v>
      </c>
    </row>
    <row r="26" spans="1:6" s="279" customFormat="1">
      <c r="A26" s="250">
        <v>632410563</v>
      </c>
      <c r="B26" s="251" t="s">
        <v>2327</v>
      </c>
      <c r="C26" s="252">
        <v>563</v>
      </c>
      <c r="D26" s="255" t="s">
        <v>716</v>
      </c>
      <c r="E26" s="252">
        <v>563</v>
      </c>
      <c r="F26" s="250">
        <v>632410563</v>
      </c>
    </row>
    <row r="27" spans="1:6" s="279" customFormat="1">
      <c r="A27" s="250">
        <v>632410573</v>
      </c>
      <c r="B27" s="251" t="s">
        <v>638</v>
      </c>
      <c r="C27" s="252">
        <v>573</v>
      </c>
      <c r="D27" s="255" t="s">
        <v>619</v>
      </c>
      <c r="E27" s="252">
        <v>632</v>
      </c>
      <c r="F27" s="250">
        <v>632410573</v>
      </c>
    </row>
    <row r="28" spans="1:6" s="279" customFormat="1">
      <c r="A28" s="250">
        <v>632410575</v>
      </c>
      <c r="B28" s="251" t="s">
        <v>639</v>
      </c>
      <c r="C28" s="252">
        <v>575</v>
      </c>
      <c r="D28" s="255" t="s">
        <v>621</v>
      </c>
      <c r="E28" s="252">
        <v>632</v>
      </c>
      <c r="F28" s="250">
        <v>632410575</v>
      </c>
    </row>
    <row r="29" spans="1:6" s="279" customFormat="1">
      <c r="A29" s="250">
        <v>632410576</v>
      </c>
      <c r="B29" s="251" t="s">
        <v>640</v>
      </c>
      <c r="C29" s="252">
        <v>576</v>
      </c>
      <c r="D29" s="255" t="s">
        <v>631</v>
      </c>
      <c r="E29" s="252">
        <v>632</v>
      </c>
      <c r="F29" s="250">
        <v>632410576</v>
      </c>
    </row>
    <row r="30" spans="1:6" s="279" customFormat="1">
      <c r="A30" s="251">
        <v>632411700</v>
      </c>
      <c r="B30" s="251" t="s">
        <v>641</v>
      </c>
      <c r="C30" s="256">
        <v>51</v>
      </c>
      <c r="D30" s="257" t="s">
        <v>634</v>
      </c>
      <c r="E30" s="256">
        <v>632</v>
      </c>
      <c r="F30" s="267">
        <v>632411700</v>
      </c>
    </row>
    <row r="31" spans="1:6">
      <c r="A31" s="251">
        <v>634140000</v>
      </c>
      <c r="B31" s="251" t="s">
        <v>2328</v>
      </c>
      <c r="C31" s="256">
        <v>52</v>
      </c>
      <c r="D31" s="257" t="s">
        <v>610</v>
      </c>
      <c r="E31" s="256">
        <v>634</v>
      </c>
      <c r="F31" s="267">
        <v>6341</v>
      </c>
    </row>
    <row r="32" spans="1:6">
      <c r="A32" s="251">
        <v>634150000</v>
      </c>
      <c r="B32" s="251" t="s">
        <v>2329</v>
      </c>
      <c r="C32" s="256">
        <v>52</v>
      </c>
      <c r="D32" s="257" t="s">
        <v>610</v>
      </c>
      <c r="E32" s="256">
        <v>634</v>
      </c>
      <c r="F32" s="267">
        <v>6341</v>
      </c>
    </row>
    <row r="33" spans="1:6">
      <c r="A33" s="251">
        <v>634160000</v>
      </c>
      <c r="B33" s="251" t="s">
        <v>2330</v>
      </c>
      <c r="C33" s="256">
        <v>52</v>
      </c>
      <c r="D33" s="257" t="s">
        <v>610</v>
      </c>
      <c r="E33" s="256">
        <v>634</v>
      </c>
      <c r="F33" s="267">
        <v>6341</v>
      </c>
    </row>
    <row r="34" spans="1:6">
      <c r="A34" s="251">
        <v>634240000</v>
      </c>
      <c r="B34" s="251" t="s">
        <v>2331</v>
      </c>
      <c r="C34" s="256">
        <v>52</v>
      </c>
      <c r="D34" s="257" t="s">
        <v>610</v>
      </c>
      <c r="E34" s="256">
        <v>634</v>
      </c>
      <c r="F34" s="267">
        <v>6342</v>
      </c>
    </row>
    <row r="35" spans="1:6">
      <c r="A35" s="251">
        <v>634250000</v>
      </c>
      <c r="B35" s="251" t="s">
        <v>2332</v>
      </c>
      <c r="C35" s="256">
        <v>52</v>
      </c>
      <c r="D35" s="257" t="s">
        <v>610</v>
      </c>
      <c r="E35" s="256">
        <v>634</v>
      </c>
      <c r="F35" s="267">
        <v>6342</v>
      </c>
    </row>
    <row r="36" spans="1:6">
      <c r="A36" s="251">
        <v>634260000</v>
      </c>
      <c r="B36" s="251" t="s">
        <v>2333</v>
      </c>
      <c r="C36" s="256">
        <v>52</v>
      </c>
      <c r="D36" s="257" t="s">
        <v>610</v>
      </c>
      <c r="E36" s="256">
        <v>634</v>
      </c>
      <c r="F36" s="267">
        <v>6342</v>
      </c>
    </row>
    <row r="37" spans="1:6">
      <c r="A37" s="251">
        <v>636130000</v>
      </c>
      <c r="B37" s="251" t="s">
        <v>644</v>
      </c>
      <c r="C37" s="256">
        <v>52</v>
      </c>
      <c r="D37" s="257" t="s">
        <v>610</v>
      </c>
      <c r="E37" s="256">
        <v>636</v>
      </c>
      <c r="F37" s="267">
        <v>6361</v>
      </c>
    </row>
    <row r="38" spans="1:6">
      <c r="A38" s="251">
        <v>636230000</v>
      </c>
      <c r="B38" s="251" t="s">
        <v>645</v>
      </c>
      <c r="C38" s="256">
        <v>52</v>
      </c>
      <c r="D38" s="257" t="s">
        <v>610</v>
      </c>
      <c r="E38" s="256">
        <v>636</v>
      </c>
      <c r="F38" s="267">
        <v>6362</v>
      </c>
    </row>
    <row r="39" spans="1:6">
      <c r="A39" s="251">
        <v>638120000</v>
      </c>
      <c r="B39" s="251" t="s">
        <v>646</v>
      </c>
      <c r="C39" s="256">
        <v>52</v>
      </c>
      <c r="D39" s="257" t="s">
        <v>610</v>
      </c>
      <c r="E39" s="256">
        <v>638</v>
      </c>
      <c r="F39" s="267">
        <v>6381</v>
      </c>
    </row>
    <row r="40" spans="1:6">
      <c r="A40" s="251">
        <v>638130000</v>
      </c>
      <c r="B40" s="251" t="s">
        <v>647</v>
      </c>
      <c r="C40" s="256">
        <v>52</v>
      </c>
      <c r="D40" s="257" t="s">
        <v>610</v>
      </c>
      <c r="E40" s="256">
        <v>638</v>
      </c>
      <c r="F40" s="267">
        <v>6381</v>
      </c>
    </row>
    <row r="41" spans="1:6">
      <c r="A41" s="251">
        <v>638140000</v>
      </c>
      <c r="B41" s="251" t="s">
        <v>648</v>
      </c>
      <c r="C41" s="256">
        <v>52</v>
      </c>
      <c r="D41" s="257" t="s">
        <v>610</v>
      </c>
      <c r="E41" s="256">
        <v>638</v>
      </c>
      <c r="F41" s="267">
        <v>6381</v>
      </c>
    </row>
    <row r="42" spans="1:6">
      <c r="A42" s="251">
        <v>638220000</v>
      </c>
      <c r="B42" s="251" t="s">
        <v>649</v>
      </c>
      <c r="C42" s="256">
        <v>52</v>
      </c>
      <c r="D42" s="257" t="s">
        <v>610</v>
      </c>
      <c r="E42" s="256">
        <v>638</v>
      </c>
      <c r="F42" s="267">
        <v>6382</v>
      </c>
    </row>
    <row r="43" spans="1:6">
      <c r="A43" s="251">
        <v>638230000</v>
      </c>
      <c r="B43" s="251" t="s">
        <v>650</v>
      </c>
      <c r="C43" s="256">
        <v>52</v>
      </c>
      <c r="D43" s="257" t="s">
        <v>610</v>
      </c>
      <c r="E43" s="256">
        <v>638</v>
      </c>
      <c r="F43" s="267">
        <v>6382</v>
      </c>
    </row>
    <row r="44" spans="1:6">
      <c r="A44" s="251">
        <v>638240000</v>
      </c>
      <c r="B44" s="251" t="s">
        <v>651</v>
      </c>
      <c r="C44" s="256">
        <v>52</v>
      </c>
      <c r="D44" s="257" t="s">
        <v>610</v>
      </c>
      <c r="E44" s="256">
        <v>638</v>
      </c>
      <c r="F44" s="267">
        <v>6382</v>
      </c>
    </row>
    <row r="45" spans="1:6">
      <c r="A45" s="251">
        <v>639110000</v>
      </c>
      <c r="B45" s="251" t="s">
        <v>652</v>
      </c>
      <c r="C45" s="256">
        <v>52</v>
      </c>
      <c r="D45" s="257" t="s">
        <v>610</v>
      </c>
      <c r="E45" s="256">
        <v>639</v>
      </c>
      <c r="F45" s="267">
        <v>6391</v>
      </c>
    </row>
    <row r="46" spans="1:6">
      <c r="A46" s="251">
        <v>639210000</v>
      </c>
      <c r="B46" s="251" t="s">
        <v>653</v>
      </c>
      <c r="C46" s="256">
        <v>52</v>
      </c>
      <c r="D46" s="257" t="s">
        <v>610</v>
      </c>
      <c r="E46" s="256">
        <v>639</v>
      </c>
      <c r="F46" s="267">
        <v>6392</v>
      </c>
    </row>
    <row r="47" spans="1:6">
      <c r="A47" s="251">
        <v>639310000</v>
      </c>
      <c r="B47" s="251" t="s">
        <v>654</v>
      </c>
      <c r="C47" s="256">
        <v>52</v>
      </c>
      <c r="D47" s="257" t="s">
        <v>610</v>
      </c>
      <c r="E47" s="256">
        <v>639</v>
      </c>
      <c r="F47" s="267">
        <v>6393</v>
      </c>
    </row>
    <row r="48" spans="1:6">
      <c r="A48" s="251">
        <v>639410000</v>
      </c>
      <c r="B48" s="251" t="s">
        <v>655</v>
      </c>
      <c r="C48" s="256">
        <v>52</v>
      </c>
      <c r="D48" s="257" t="s">
        <v>610</v>
      </c>
      <c r="E48" s="256">
        <v>639</v>
      </c>
      <c r="F48" s="267">
        <v>6394</v>
      </c>
    </row>
    <row r="49" spans="1:6">
      <c r="A49" s="251">
        <v>641290031</v>
      </c>
      <c r="B49" s="251" t="s">
        <v>656</v>
      </c>
      <c r="C49" s="256">
        <v>31</v>
      </c>
      <c r="D49" s="257" t="s">
        <v>600</v>
      </c>
      <c r="E49" s="256">
        <v>641</v>
      </c>
      <c r="F49" s="250">
        <v>641290031</v>
      </c>
    </row>
    <row r="50" spans="1:6">
      <c r="A50" s="251">
        <v>641310031</v>
      </c>
      <c r="B50" s="251" t="s">
        <v>657</v>
      </c>
      <c r="C50" s="256">
        <v>31</v>
      </c>
      <c r="D50" s="257" t="s">
        <v>600</v>
      </c>
      <c r="E50" s="256">
        <v>641</v>
      </c>
      <c r="F50" s="250">
        <v>641310031</v>
      </c>
    </row>
    <row r="51" spans="1:6">
      <c r="A51" s="251">
        <v>641320031</v>
      </c>
      <c r="B51" s="251" t="s">
        <v>658</v>
      </c>
      <c r="C51" s="256">
        <v>31</v>
      </c>
      <c r="D51" s="257" t="s">
        <v>600</v>
      </c>
      <c r="E51" s="256">
        <v>641</v>
      </c>
      <c r="F51" s="268">
        <v>641320031</v>
      </c>
    </row>
    <row r="52" spans="1:6">
      <c r="A52" s="251">
        <v>641320043</v>
      </c>
      <c r="B52" s="251" t="s">
        <v>659</v>
      </c>
      <c r="C52" s="256">
        <v>43</v>
      </c>
      <c r="D52" s="257" t="s">
        <v>604</v>
      </c>
      <c r="E52" s="256">
        <v>641</v>
      </c>
      <c r="F52" s="268">
        <v>641320043</v>
      </c>
    </row>
    <row r="53" spans="1:6">
      <c r="A53" s="251">
        <v>641510031</v>
      </c>
      <c r="B53" s="251" t="s">
        <v>660</v>
      </c>
      <c r="C53" s="258">
        <v>31</v>
      </c>
      <c r="D53" s="259" t="s">
        <v>600</v>
      </c>
      <c r="E53" s="258">
        <v>641</v>
      </c>
      <c r="F53" s="250">
        <v>641510031</v>
      </c>
    </row>
    <row r="54" spans="1:6">
      <c r="A54" s="251">
        <v>641510043</v>
      </c>
      <c r="B54" s="251" t="s">
        <v>661</v>
      </c>
      <c r="C54" s="258">
        <v>43</v>
      </c>
      <c r="D54" s="259" t="s">
        <v>604</v>
      </c>
      <c r="E54" s="258">
        <v>641</v>
      </c>
      <c r="F54" s="250">
        <v>641510043</v>
      </c>
    </row>
    <row r="55" spans="1:6">
      <c r="A55" s="251">
        <v>641630031</v>
      </c>
      <c r="B55" s="251" t="s">
        <v>662</v>
      </c>
      <c r="C55" s="258">
        <v>31</v>
      </c>
      <c r="D55" s="259" t="s">
        <v>600</v>
      </c>
      <c r="E55" s="258">
        <v>641</v>
      </c>
      <c r="F55" s="250">
        <v>641630031</v>
      </c>
    </row>
    <row r="56" spans="1:6">
      <c r="A56" s="251">
        <v>641720043</v>
      </c>
      <c r="B56" s="251" t="s">
        <v>663</v>
      </c>
      <c r="C56" s="258">
        <v>43</v>
      </c>
      <c r="D56" s="259" t="s">
        <v>604</v>
      </c>
      <c r="E56" s="258">
        <v>641</v>
      </c>
      <c r="F56" s="250">
        <v>641720043</v>
      </c>
    </row>
    <row r="57" spans="1:6">
      <c r="A57" s="250">
        <v>641770041</v>
      </c>
      <c r="B57" s="260" t="s">
        <v>664</v>
      </c>
      <c r="C57" s="252">
        <v>41</v>
      </c>
      <c r="D57" s="255" t="s">
        <v>602</v>
      </c>
      <c r="E57" s="252">
        <v>641</v>
      </c>
      <c r="F57" s="250">
        <v>641770041</v>
      </c>
    </row>
    <row r="58" spans="1:6">
      <c r="A58" s="251">
        <v>641990043</v>
      </c>
      <c r="B58" s="251" t="s">
        <v>665</v>
      </c>
      <c r="C58" s="258">
        <v>43</v>
      </c>
      <c r="D58" s="259" t="s">
        <v>604</v>
      </c>
      <c r="E58" s="258">
        <v>641</v>
      </c>
      <c r="F58" s="250">
        <v>641990043</v>
      </c>
    </row>
    <row r="59" spans="1:6">
      <c r="A59" s="251">
        <v>642510031</v>
      </c>
      <c r="B59" s="251" t="s">
        <v>666</v>
      </c>
      <c r="C59" s="258">
        <v>31</v>
      </c>
      <c r="D59" s="259" t="s">
        <v>600</v>
      </c>
      <c r="E59" s="258">
        <v>642</v>
      </c>
      <c r="F59" s="250">
        <v>642510031</v>
      </c>
    </row>
    <row r="60" spans="1:6">
      <c r="A60" s="251">
        <v>642990031</v>
      </c>
      <c r="B60" s="251" t="s">
        <v>667</v>
      </c>
      <c r="C60" s="258">
        <v>31</v>
      </c>
      <c r="D60" s="259" t="s">
        <v>600</v>
      </c>
      <c r="E60" s="258">
        <v>642</v>
      </c>
      <c r="F60" s="250">
        <v>642990031</v>
      </c>
    </row>
    <row r="61" spans="1:6">
      <c r="A61" s="251">
        <v>651480000</v>
      </c>
      <c r="B61" s="251" t="s">
        <v>668</v>
      </c>
      <c r="C61" s="258">
        <v>43</v>
      </c>
      <c r="D61" s="259" t="s">
        <v>604</v>
      </c>
      <c r="E61" s="258">
        <v>651</v>
      </c>
      <c r="F61" s="250">
        <v>65148</v>
      </c>
    </row>
    <row r="62" spans="1:6">
      <c r="A62" s="251">
        <v>652180000</v>
      </c>
      <c r="B62" s="251" t="s">
        <v>669</v>
      </c>
      <c r="C62" s="258">
        <v>43</v>
      </c>
      <c r="D62" s="259" t="s">
        <v>604</v>
      </c>
      <c r="E62" s="258">
        <v>652</v>
      </c>
      <c r="F62" s="250">
        <v>65218</v>
      </c>
    </row>
    <row r="63" spans="1:6">
      <c r="A63" s="251">
        <v>652640000</v>
      </c>
      <c r="B63" s="251" t="s">
        <v>670</v>
      </c>
      <c r="C63" s="258">
        <v>43</v>
      </c>
      <c r="D63" s="259" t="s">
        <v>604</v>
      </c>
      <c r="E63" s="258">
        <v>625</v>
      </c>
      <c r="F63" s="268">
        <v>65264</v>
      </c>
    </row>
    <row r="64" spans="1:6">
      <c r="A64" s="251">
        <v>652670043</v>
      </c>
      <c r="B64" s="251" t="s">
        <v>671</v>
      </c>
      <c r="C64" s="258">
        <v>43</v>
      </c>
      <c r="D64" s="259" t="s">
        <v>604</v>
      </c>
      <c r="E64" s="258">
        <v>652</v>
      </c>
      <c r="F64" s="250">
        <v>652670043</v>
      </c>
    </row>
    <row r="65" spans="1:6">
      <c r="A65" s="251">
        <v>652680000</v>
      </c>
      <c r="B65" s="251" t="s">
        <v>672</v>
      </c>
      <c r="C65" s="258">
        <v>43</v>
      </c>
      <c r="D65" s="259" t="s">
        <v>604</v>
      </c>
      <c r="E65" s="258">
        <v>652</v>
      </c>
      <c r="F65" s="250">
        <v>65268</v>
      </c>
    </row>
    <row r="66" spans="1:6">
      <c r="A66" s="251">
        <v>661410000</v>
      </c>
      <c r="B66" s="251" t="s">
        <v>2334</v>
      </c>
      <c r="C66" s="258">
        <v>31</v>
      </c>
      <c r="D66" s="259" t="s">
        <v>600</v>
      </c>
      <c r="E66" s="258">
        <v>661</v>
      </c>
      <c r="F66" s="250">
        <v>6614</v>
      </c>
    </row>
    <row r="67" spans="1:6">
      <c r="A67" s="251">
        <v>661420000</v>
      </c>
      <c r="B67" s="251" t="s">
        <v>2335</v>
      </c>
      <c r="C67" s="258">
        <v>31</v>
      </c>
      <c r="D67" s="259" t="s">
        <v>600</v>
      </c>
      <c r="E67" s="258">
        <v>661</v>
      </c>
      <c r="F67" s="250">
        <v>6614</v>
      </c>
    </row>
    <row r="68" spans="1:6">
      <c r="A68" s="251">
        <v>661510000</v>
      </c>
      <c r="B68" s="251" t="s">
        <v>674</v>
      </c>
      <c r="C68" s="258">
        <v>31</v>
      </c>
      <c r="D68" s="259" t="s">
        <v>600</v>
      </c>
      <c r="E68" s="258">
        <v>661</v>
      </c>
      <c r="F68" s="250">
        <v>6615</v>
      </c>
    </row>
    <row r="69" spans="1:6">
      <c r="A69" s="251">
        <v>663110000</v>
      </c>
      <c r="B69" s="251" t="s">
        <v>675</v>
      </c>
      <c r="C69" s="258">
        <v>61</v>
      </c>
      <c r="D69" s="259" t="s">
        <v>676</v>
      </c>
      <c r="E69" s="258">
        <v>663</v>
      </c>
      <c r="F69" s="250">
        <v>663110000</v>
      </c>
    </row>
    <row r="70" spans="1:6">
      <c r="A70" s="251">
        <v>663120000</v>
      </c>
      <c r="B70" s="251" t="s">
        <v>677</v>
      </c>
      <c r="C70" s="258">
        <v>61</v>
      </c>
      <c r="D70" s="259" t="s">
        <v>676</v>
      </c>
      <c r="E70" s="258">
        <v>663</v>
      </c>
      <c r="F70" s="250">
        <v>663120000</v>
      </c>
    </row>
    <row r="71" spans="1:6">
      <c r="A71" s="251">
        <v>663130000</v>
      </c>
      <c r="B71" s="251" t="s">
        <v>678</v>
      </c>
      <c r="C71" s="258">
        <v>61</v>
      </c>
      <c r="D71" s="259" t="s">
        <v>676</v>
      </c>
      <c r="E71" s="258">
        <v>663</v>
      </c>
      <c r="F71" s="250">
        <v>663130000</v>
      </c>
    </row>
    <row r="72" spans="1:6">
      <c r="A72" s="251">
        <v>663140000</v>
      </c>
      <c r="B72" s="251" t="s">
        <v>679</v>
      </c>
      <c r="C72" s="258">
        <v>61</v>
      </c>
      <c r="D72" s="259" t="s">
        <v>676</v>
      </c>
      <c r="E72" s="258">
        <v>663</v>
      </c>
      <c r="F72" s="268">
        <v>663140000</v>
      </c>
    </row>
    <row r="73" spans="1:6">
      <c r="A73" s="251">
        <v>663210000</v>
      </c>
      <c r="B73" s="251" t="s">
        <v>680</v>
      </c>
      <c r="C73" s="258">
        <v>61</v>
      </c>
      <c r="D73" s="259" t="s">
        <v>676</v>
      </c>
      <c r="E73" s="258">
        <v>663</v>
      </c>
      <c r="F73" s="250">
        <v>663210000</v>
      </c>
    </row>
    <row r="74" spans="1:6">
      <c r="A74" s="251">
        <v>663220000</v>
      </c>
      <c r="B74" s="251" t="s">
        <v>681</v>
      </c>
      <c r="C74" s="258">
        <v>61</v>
      </c>
      <c r="D74" s="259" t="s">
        <v>676</v>
      </c>
      <c r="E74" s="258">
        <v>663</v>
      </c>
      <c r="F74" s="250">
        <v>663220000</v>
      </c>
    </row>
    <row r="75" spans="1:6">
      <c r="A75" s="251">
        <v>663230000</v>
      </c>
      <c r="B75" s="251" t="s">
        <v>682</v>
      </c>
      <c r="C75" s="258">
        <v>61</v>
      </c>
      <c r="D75" s="259" t="s">
        <v>676</v>
      </c>
      <c r="E75" s="258">
        <v>663</v>
      </c>
      <c r="F75" s="250">
        <v>663230000</v>
      </c>
    </row>
    <row r="76" spans="1:6">
      <c r="A76" s="251">
        <v>663240000</v>
      </c>
      <c r="B76" s="251" t="s">
        <v>683</v>
      </c>
      <c r="C76" s="258">
        <v>61</v>
      </c>
      <c r="D76" s="259" t="s">
        <v>676</v>
      </c>
      <c r="E76" s="258">
        <v>663</v>
      </c>
      <c r="F76" s="250">
        <v>663240000</v>
      </c>
    </row>
    <row r="77" spans="1:6">
      <c r="A77" s="251">
        <v>681910043</v>
      </c>
      <c r="B77" s="251" t="s">
        <v>684</v>
      </c>
      <c r="C77" s="258">
        <v>43</v>
      </c>
      <c r="D77" s="259" t="s">
        <v>604</v>
      </c>
      <c r="E77" s="258">
        <v>681</v>
      </c>
      <c r="F77" s="269">
        <v>681910043</v>
      </c>
    </row>
    <row r="78" spans="1:6">
      <c r="A78" s="251">
        <v>683110031</v>
      </c>
      <c r="B78" s="251" t="s">
        <v>685</v>
      </c>
      <c r="C78" s="258">
        <v>31</v>
      </c>
      <c r="D78" s="259" t="s">
        <v>600</v>
      </c>
      <c r="E78" s="258">
        <v>683</v>
      </c>
      <c r="F78" s="269">
        <v>683110031</v>
      </c>
    </row>
    <row r="79" spans="1:6">
      <c r="A79" s="251">
        <v>683110043</v>
      </c>
      <c r="B79" s="251" t="s">
        <v>686</v>
      </c>
      <c r="C79" s="258">
        <v>43</v>
      </c>
      <c r="D79" s="259" t="s">
        <v>604</v>
      </c>
      <c r="E79" s="258">
        <v>683</v>
      </c>
      <c r="F79" s="270">
        <v>683110043</v>
      </c>
    </row>
    <row r="80" spans="1:6">
      <c r="A80" s="251">
        <v>711110071</v>
      </c>
      <c r="B80" s="251" t="s">
        <v>687</v>
      </c>
      <c r="C80" s="258">
        <v>71</v>
      </c>
      <c r="D80" s="259" t="s">
        <v>688</v>
      </c>
      <c r="E80" s="258">
        <v>711</v>
      </c>
      <c r="F80" s="271">
        <v>711110071</v>
      </c>
    </row>
    <row r="81" spans="1:6">
      <c r="A81" s="251">
        <v>711120071</v>
      </c>
      <c r="B81" s="251" t="s">
        <v>689</v>
      </c>
      <c r="C81" s="258">
        <v>71</v>
      </c>
      <c r="D81" s="259" t="s">
        <v>688</v>
      </c>
      <c r="E81" s="258">
        <v>711</v>
      </c>
      <c r="F81" s="271">
        <v>711120071</v>
      </c>
    </row>
    <row r="82" spans="1:6">
      <c r="A82" s="251">
        <v>712410071</v>
      </c>
      <c r="B82" s="251" t="s">
        <v>690</v>
      </c>
      <c r="C82" s="258">
        <v>71</v>
      </c>
      <c r="D82" s="259" t="s">
        <v>688</v>
      </c>
      <c r="E82" s="258">
        <v>712</v>
      </c>
      <c r="F82" s="272">
        <v>712410071</v>
      </c>
    </row>
    <row r="83" spans="1:6">
      <c r="A83" s="251">
        <v>712490071</v>
      </c>
      <c r="B83" s="251" t="s">
        <v>691</v>
      </c>
      <c r="C83" s="258">
        <v>71</v>
      </c>
      <c r="D83" s="259" t="s">
        <v>688</v>
      </c>
      <c r="E83" s="258">
        <v>712</v>
      </c>
      <c r="F83" s="272">
        <v>712490071</v>
      </c>
    </row>
    <row r="84" spans="1:6">
      <c r="A84" s="251">
        <v>721110071</v>
      </c>
      <c r="B84" s="251" t="s">
        <v>692</v>
      </c>
      <c r="C84" s="258">
        <v>71</v>
      </c>
      <c r="D84" s="259" t="s">
        <v>688</v>
      </c>
      <c r="E84" s="258">
        <v>721</v>
      </c>
      <c r="F84" s="250">
        <v>721110071</v>
      </c>
    </row>
    <row r="85" spans="1:6">
      <c r="A85" s="251">
        <v>721190071</v>
      </c>
      <c r="B85" s="251" t="s">
        <v>693</v>
      </c>
      <c r="C85" s="258">
        <v>71</v>
      </c>
      <c r="D85" s="259" t="s">
        <v>688</v>
      </c>
      <c r="E85" s="258">
        <v>721</v>
      </c>
      <c r="F85" s="268">
        <v>721190071</v>
      </c>
    </row>
    <row r="86" spans="1:6">
      <c r="A86" s="251">
        <v>721230071</v>
      </c>
      <c r="B86" s="251" t="s">
        <v>694</v>
      </c>
      <c r="C86" s="258">
        <v>71</v>
      </c>
      <c r="D86" s="259" t="s">
        <v>688</v>
      </c>
      <c r="E86" s="258">
        <v>721</v>
      </c>
      <c r="F86" s="272">
        <v>721230071</v>
      </c>
    </row>
    <row r="87" spans="1:6">
      <c r="A87" s="251">
        <v>721290071</v>
      </c>
      <c r="B87" s="251" t="s">
        <v>695</v>
      </c>
      <c r="C87" s="258">
        <v>71</v>
      </c>
      <c r="D87" s="259" t="s">
        <v>688</v>
      </c>
      <c r="E87" s="258">
        <v>721</v>
      </c>
      <c r="F87" s="272">
        <v>721290071</v>
      </c>
    </row>
    <row r="88" spans="1:6">
      <c r="A88" s="251">
        <v>722110071</v>
      </c>
      <c r="B88" s="251" t="s">
        <v>696</v>
      </c>
      <c r="C88" s="258">
        <v>71</v>
      </c>
      <c r="D88" s="259" t="s">
        <v>688</v>
      </c>
      <c r="E88" s="258">
        <v>722</v>
      </c>
      <c r="F88" s="270">
        <v>722110071</v>
      </c>
    </row>
    <row r="89" spans="1:6">
      <c r="A89" s="251">
        <v>722120071</v>
      </c>
      <c r="B89" s="251" t="s">
        <v>697</v>
      </c>
      <c r="C89" s="258">
        <v>71</v>
      </c>
      <c r="D89" s="259" t="s">
        <v>688</v>
      </c>
      <c r="E89" s="258">
        <v>722</v>
      </c>
      <c r="F89" s="272">
        <v>722120071</v>
      </c>
    </row>
    <row r="90" spans="1:6">
      <c r="A90" s="251">
        <v>722190071</v>
      </c>
      <c r="B90" s="251" t="s">
        <v>698</v>
      </c>
      <c r="C90" s="258">
        <v>71</v>
      </c>
      <c r="D90" s="259" t="s">
        <v>688</v>
      </c>
      <c r="E90" s="258">
        <v>722</v>
      </c>
      <c r="F90" s="272">
        <v>722190071</v>
      </c>
    </row>
    <row r="91" spans="1:6">
      <c r="A91" s="251">
        <v>722620071</v>
      </c>
      <c r="B91" s="251" t="s">
        <v>699</v>
      </c>
      <c r="C91" s="258">
        <v>71</v>
      </c>
      <c r="D91" s="259" t="s">
        <v>688</v>
      </c>
      <c r="E91" s="258">
        <v>722</v>
      </c>
      <c r="F91" s="250">
        <v>722620071</v>
      </c>
    </row>
    <row r="92" spans="1:6">
      <c r="A92" s="251">
        <v>722730071</v>
      </c>
      <c r="B92" s="251" t="s">
        <v>700</v>
      </c>
      <c r="C92" s="258">
        <v>71</v>
      </c>
      <c r="D92" s="259" t="s">
        <v>688</v>
      </c>
      <c r="E92" s="258">
        <v>722</v>
      </c>
      <c r="F92" s="250">
        <v>722730071</v>
      </c>
    </row>
    <row r="93" spans="1:6">
      <c r="A93" s="251">
        <v>723110071</v>
      </c>
      <c r="B93" s="251" t="s">
        <v>701</v>
      </c>
      <c r="C93" s="258">
        <v>71</v>
      </c>
      <c r="D93" s="259" t="s">
        <v>688</v>
      </c>
      <c r="E93" s="258">
        <v>723</v>
      </c>
      <c r="F93" s="270">
        <v>723110071</v>
      </c>
    </row>
    <row r="94" spans="1:6">
      <c r="A94" s="251">
        <v>723130071</v>
      </c>
      <c r="B94" s="251" t="s">
        <v>702</v>
      </c>
      <c r="C94" s="258">
        <v>71</v>
      </c>
      <c r="D94" s="259" t="s">
        <v>688</v>
      </c>
      <c r="E94" s="258">
        <v>723</v>
      </c>
      <c r="F94" s="270">
        <v>723130071</v>
      </c>
    </row>
    <row r="95" spans="1:6">
      <c r="A95" s="251">
        <v>723140071</v>
      </c>
      <c r="B95" s="251" t="s">
        <v>703</v>
      </c>
      <c r="C95" s="258">
        <v>71</v>
      </c>
      <c r="D95" s="259" t="s">
        <v>688</v>
      </c>
      <c r="E95" s="258">
        <v>723</v>
      </c>
      <c r="F95" s="270">
        <v>723140071</v>
      </c>
    </row>
    <row r="96" spans="1:6">
      <c r="A96" s="251">
        <v>723150071</v>
      </c>
      <c r="B96" s="251" t="s">
        <v>704</v>
      </c>
      <c r="C96" s="258">
        <v>71</v>
      </c>
      <c r="D96" s="259" t="s">
        <v>688</v>
      </c>
      <c r="E96" s="258">
        <v>723</v>
      </c>
      <c r="F96" s="270">
        <v>723150071</v>
      </c>
    </row>
    <row r="97" spans="1:6">
      <c r="A97" s="251">
        <v>723160071</v>
      </c>
      <c r="B97" s="251" t="s">
        <v>705</v>
      </c>
      <c r="C97" s="258">
        <v>71</v>
      </c>
      <c r="D97" s="259" t="s">
        <v>688</v>
      </c>
      <c r="E97" s="258">
        <v>723</v>
      </c>
      <c r="F97" s="270">
        <v>723160071</v>
      </c>
    </row>
    <row r="98" spans="1:6">
      <c r="A98" s="251">
        <v>723310071</v>
      </c>
      <c r="B98" s="251" t="s">
        <v>706</v>
      </c>
      <c r="C98" s="258">
        <v>71</v>
      </c>
      <c r="D98" s="259" t="s">
        <v>688</v>
      </c>
      <c r="E98" s="258">
        <v>723</v>
      </c>
      <c r="F98" s="270">
        <v>723310071</v>
      </c>
    </row>
    <row r="99" spans="1:6">
      <c r="A99" s="251">
        <v>725210071</v>
      </c>
      <c r="B99" s="251" t="s">
        <v>707</v>
      </c>
      <c r="C99" s="258">
        <v>71</v>
      </c>
      <c r="D99" s="259" t="s">
        <v>688</v>
      </c>
      <c r="E99" s="258">
        <v>725</v>
      </c>
      <c r="F99" s="270">
        <v>725210071</v>
      </c>
    </row>
    <row r="100" spans="1:6">
      <c r="A100" s="251">
        <v>812150000</v>
      </c>
      <c r="B100" s="251" t="s">
        <v>708</v>
      </c>
      <c r="C100" s="258">
        <v>81</v>
      </c>
      <c r="D100" s="259" t="s">
        <v>709</v>
      </c>
      <c r="E100" s="258">
        <v>812</v>
      </c>
      <c r="F100" s="270">
        <v>812150000</v>
      </c>
    </row>
    <row r="101" spans="1:6">
      <c r="A101" s="251">
        <v>818120043</v>
      </c>
      <c r="B101" s="251" t="s">
        <v>710</v>
      </c>
      <c r="C101" s="258">
        <v>43</v>
      </c>
      <c r="D101" s="259" t="s">
        <v>604</v>
      </c>
      <c r="E101" s="258">
        <v>818</v>
      </c>
      <c r="F101" s="270">
        <v>818120043</v>
      </c>
    </row>
    <row r="102" spans="1:6">
      <c r="A102" s="251">
        <v>832120043</v>
      </c>
      <c r="B102" s="251" t="s">
        <v>711</v>
      </c>
      <c r="C102" s="258">
        <v>43</v>
      </c>
      <c r="D102" s="259" t="s">
        <v>604</v>
      </c>
      <c r="E102" s="258">
        <v>832</v>
      </c>
      <c r="F102" s="270">
        <v>832120043</v>
      </c>
    </row>
    <row r="103" spans="1:6">
      <c r="A103" s="251">
        <v>833130043</v>
      </c>
      <c r="B103" s="251" t="s">
        <v>712</v>
      </c>
      <c r="C103" s="258">
        <v>43</v>
      </c>
      <c r="D103" s="259" t="s">
        <v>604</v>
      </c>
      <c r="E103" s="258">
        <v>833</v>
      </c>
      <c r="F103" s="270">
        <v>833130043</v>
      </c>
    </row>
    <row r="104" spans="1:6">
      <c r="A104" s="251">
        <v>841320133</v>
      </c>
      <c r="B104" s="251" t="s">
        <v>713</v>
      </c>
      <c r="C104" s="258">
        <v>83</v>
      </c>
      <c r="D104" s="259" t="s">
        <v>632</v>
      </c>
      <c r="E104" s="258">
        <v>841</v>
      </c>
      <c r="F104" s="270">
        <v>841320133</v>
      </c>
    </row>
    <row r="105" spans="1:6">
      <c r="A105" s="251">
        <v>841320135</v>
      </c>
      <c r="B105" s="251" t="s">
        <v>714</v>
      </c>
      <c r="C105" s="258">
        <v>83</v>
      </c>
      <c r="D105" s="259" t="s">
        <v>632</v>
      </c>
      <c r="E105" s="258">
        <v>841</v>
      </c>
      <c r="F105" s="270">
        <v>841320135</v>
      </c>
    </row>
    <row r="106" spans="1:6">
      <c r="A106" s="251">
        <v>842220081</v>
      </c>
      <c r="B106" s="251" t="s">
        <v>715</v>
      </c>
      <c r="C106" s="258">
        <v>81</v>
      </c>
      <c r="D106" s="259" t="s">
        <v>709</v>
      </c>
      <c r="E106" s="258">
        <v>842</v>
      </c>
      <c r="F106" s="270">
        <v>842220081</v>
      </c>
    </row>
    <row r="107" spans="1:6">
      <c r="A107" s="261"/>
      <c r="B107" s="261"/>
      <c r="C107" s="262"/>
      <c r="D107" s="263"/>
      <c r="E107" s="262"/>
    </row>
    <row r="111" spans="1:6">
      <c r="A111" s="266"/>
      <c r="B111" s="266"/>
      <c r="C111" s="266"/>
      <c r="D111" s="266"/>
      <c r="E111" s="266"/>
      <c r="F111" s="266"/>
    </row>
    <row r="112" spans="1:6">
      <c r="A112" s="266"/>
      <c r="B112" s="266"/>
      <c r="C112" s="266"/>
      <c r="D112" s="266"/>
      <c r="E112" s="266"/>
      <c r="F112" s="266"/>
    </row>
    <row r="113" spans="1:6">
      <c r="A113" s="266"/>
      <c r="B113" s="266"/>
      <c r="C113" s="266"/>
      <c r="D113" s="266"/>
      <c r="E113" s="266"/>
      <c r="F113" s="266"/>
    </row>
    <row r="114" spans="1:6">
      <c r="A114" s="266"/>
      <c r="B114" s="266"/>
      <c r="C114" s="266"/>
      <c r="D114" s="266"/>
      <c r="E114" s="266"/>
      <c r="F114" s="266"/>
    </row>
    <row r="115" spans="1:6">
      <c r="A115" s="266"/>
      <c r="B115" s="266"/>
      <c r="C115" s="266"/>
      <c r="D115" s="266"/>
      <c r="E115" s="266"/>
      <c r="F115" s="266"/>
    </row>
    <row r="116" spans="1:6">
      <c r="A116" s="266"/>
      <c r="B116" s="266"/>
      <c r="C116" s="266"/>
      <c r="D116" s="266"/>
      <c r="E116" s="266"/>
      <c r="F116" s="266"/>
    </row>
    <row r="117" spans="1:6">
      <c r="A117" s="266"/>
      <c r="B117" s="266"/>
      <c r="C117" s="266"/>
      <c r="D117" s="266"/>
      <c r="E117" s="266"/>
      <c r="F117" s="266"/>
    </row>
    <row r="118" spans="1:6">
      <c r="A118" s="266"/>
      <c r="B118" s="266"/>
      <c r="C118" s="266"/>
      <c r="D118" s="266"/>
      <c r="E118" s="266"/>
      <c r="F118" s="266"/>
    </row>
    <row r="119" spans="1:6">
      <c r="A119" s="266"/>
      <c r="B119" s="266"/>
      <c r="C119" s="266"/>
      <c r="D119" s="266"/>
      <c r="E119" s="266"/>
      <c r="F119" s="266"/>
    </row>
    <row r="120" spans="1:6">
      <c r="A120" s="266"/>
      <c r="B120" s="266"/>
      <c r="C120" s="266"/>
      <c r="D120" s="266"/>
      <c r="E120" s="266"/>
      <c r="F120" s="266"/>
    </row>
    <row r="121" spans="1:6">
      <c r="A121" s="266"/>
      <c r="B121" s="266"/>
      <c r="C121" s="266"/>
      <c r="D121" s="266"/>
      <c r="E121" s="266"/>
      <c r="F121" s="266"/>
    </row>
    <row r="122" spans="1:6">
      <c r="A122" s="266"/>
      <c r="B122" s="266"/>
      <c r="C122" s="266"/>
      <c r="D122" s="266"/>
      <c r="E122" s="266"/>
      <c r="F122" s="266"/>
    </row>
    <row r="123" spans="1:6">
      <c r="A123" s="266"/>
      <c r="B123" s="266"/>
      <c r="C123" s="266"/>
      <c r="D123" s="266"/>
      <c r="E123" s="266"/>
      <c r="F123" s="26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2"/>
  <sheetViews>
    <sheetView showGridLines="0" topLeftCell="E1" zoomScaleNormal="100" workbookViewId="0">
      <pane ySplit="2" topLeftCell="A3" activePane="bottomLeft" state="frozen"/>
      <selection pane="bottomLeft" activeCell="H5" sqref="H5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9" t="s">
        <v>581</v>
      </c>
      <c r="B1" s="289"/>
      <c r="C1" s="289"/>
      <c r="D1" s="289"/>
      <c r="E1" s="188" t="str">
        <f>IF('Opći dio'!C3="odaberite -","Molimo odaberite proračunskog korisnika na radnom listu Opći podaci!","")</f>
        <v/>
      </c>
    </row>
    <row r="2" spans="1:21" ht="36" customHeight="1">
      <c r="A2" s="67" t="s">
        <v>582</v>
      </c>
      <c r="B2" s="67" t="s">
        <v>583</v>
      </c>
      <c r="C2" s="67" t="s">
        <v>584</v>
      </c>
      <c r="D2" s="67" t="s">
        <v>585</v>
      </c>
      <c r="E2" s="148" t="s">
        <v>586</v>
      </c>
      <c r="F2" s="67" t="s">
        <v>587</v>
      </c>
      <c r="G2" s="190" t="s">
        <v>48</v>
      </c>
      <c r="H2" s="190" t="s">
        <v>49</v>
      </c>
      <c r="I2" s="190" t="s">
        <v>50</v>
      </c>
      <c r="K2" s="144" t="s">
        <v>588</v>
      </c>
      <c r="L2" s="144" t="s">
        <v>589</v>
      </c>
      <c r="Q2" s="61" t="s">
        <v>590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5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590</v>
      </c>
      <c r="F3" s="189" t="str">
        <f t="shared" ref="F3" si="2">IFERROR(VLOOKUP(E3,$Q$6:$T$200,2,FALSE),"")</f>
        <v>Prihodi iz nadležnog proračuna za financiranje redovne djelatnosti proračunskih korisnika</v>
      </c>
      <c r="G3" s="183">
        <v>16743890</v>
      </c>
      <c r="H3" s="183">
        <v>17221670</v>
      </c>
      <c r="I3" s="183">
        <v>17298710</v>
      </c>
      <c r="K3" s="141" t="str">
        <f>LEFT(E3,3)</f>
        <v>671</v>
      </c>
      <c r="L3" s="141" t="str">
        <f>LEFT(E3,2)</f>
        <v>67</v>
      </c>
      <c r="M3" t="s">
        <v>591</v>
      </c>
      <c r="Q3" s="61" t="s">
        <v>592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5">
        <f t="shared" ref="C4:C67" si="3">IFERROR(VLOOKUP(E4,$Q$6:$T$200,3,FALSE),"")</f>
        <v>52</v>
      </c>
      <c r="D4" s="138" t="str">
        <f t="shared" ref="D4:D67" si="4">IFERROR(VLOOKUP(E4,$Q$6:$T$200,4,FALSE),"")</f>
        <v xml:space="preserve">Ostale pomoći i darovnice </v>
      </c>
      <c r="E4" s="150">
        <v>639110000</v>
      </c>
      <c r="F4" s="189" t="str">
        <f t="shared" ref="F4:F67" si="5">IFERROR(VLOOKUP(E4,$Q$6:$T$200,2,FALSE),"")</f>
        <v>Tekući prijenosi između proračunskih korisnika istog proračuna</v>
      </c>
      <c r="G4" s="183">
        <v>93500</v>
      </c>
      <c r="H4" s="183">
        <v>93500</v>
      </c>
      <c r="I4" s="183">
        <v>93500</v>
      </c>
      <c r="K4" s="141" t="str">
        <f t="shared" ref="K4:K67" si="6">LEFT(E4,3)</f>
        <v>639</v>
      </c>
      <c r="L4" s="141" t="str">
        <f t="shared" ref="L4:L67" si="7">LEFT(E4,2)</f>
        <v>63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5">
        <f t="shared" si="3"/>
        <v>43</v>
      </c>
      <c r="D5" s="138" t="str">
        <f t="shared" si="4"/>
        <v>Ostali prihodi za posebne namjene</v>
      </c>
      <c r="E5" s="150">
        <v>652640000</v>
      </c>
      <c r="F5" s="189" t="str">
        <f t="shared" si="5"/>
        <v>Sufinanciranje cijene usluge, participacije i slično</v>
      </c>
      <c r="G5" s="183">
        <v>2050000</v>
      </c>
      <c r="H5" s="183">
        <v>2120000</v>
      </c>
      <c r="I5" s="183">
        <v>2234200</v>
      </c>
      <c r="K5" s="141" t="str">
        <f t="shared" si="6"/>
        <v>652</v>
      </c>
      <c r="L5" s="141" t="str">
        <f t="shared" si="7"/>
        <v>65</v>
      </c>
      <c r="M5" s="141" t="s">
        <v>584</v>
      </c>
      <c r="N5" s="141" t="s">
        <v>585</v>
      </c>
      <c r="Q5" s="68" t="s">
        <v>593</v>
      </c>
      <c r="R5" s="67" t="s">
        <v>594</v>
      </c>
      <c r="S5" s="67" t="s">
        <v>595</v>
      </c>
      <c r="T5" s="67" t="s">
        <v>585</v>
      </c>
      <c r="U5" s="149" t="s">
        <v>596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5">
        <f t="shared" si="3"/>
        <v>31</v>
      </c>
      <c r="D6" s="138" t="str">
        <f t="shared" si="4"/>
        <v>Vlastiti prihodi</v>
      </c>
      <c r="E6" s="150">
        <v>6615</v>
      </c>
      <c r="F6" s="189" t="str">
        <f t="shared" si="5"/>
        <v>Prihodi od pruženih usluga</v>
      </c>
      <c r="G6" s="183">
        <v>1910000</v>
      </c>
      <c r="H6" s="183">
        <v>2050000</v>
      </c>
      <c r="I6" s="183">
        <v>1940000</v>
      </c>
      <c r="K6" s="141" t="str">
        <f t="shared" si="6"/>
        <v>661</v>
      </c>
      <c r="L6" s="141" t="str">
        <f t="shared" si="7"/>
        <v>66</v>
      </c>
      <c r="M6" s="141">
        <v>11</v>
      </c>
      <c r="N6" s="141" t="s">
        <v>597</v>
      </c>
      <c r="Q6" s="6" t="s">
        <v>590</v>
      </c>
      <c r="R6" s="6" t="s">
        <v>598</v>
      </c>
      <c r="S6" s="6">
        <v>11</v>
      </c>
      <c r="T6" s="6" t="s">
        <v>597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5">
        <f t="shared" si="3"/>
        <v>43</v>
      </c>
      <c r="D7" s="138" t="str">
        <f t="shared" si="4"/>
        <v>Ostali prihodi za posebne namjene</v>
      </c>
      <c r="E7" s="150">
        <v>652680000</v>
      </c>
      <c r="F7" s="189" t="str">
        <f t="shared" si="5"/>
        <v xml:space="preserve">Ostali prihodi za posebne namjene </v>
      </c>
      <c r="G7" s="183">
        <v>250000</v>
      </c>
      <c r="H7" s="183">
        <v>240000</v>
      </c>
      <c r="I7" s="183">
        <v>249000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599</v>
      </c>
      <c r="Q7" s="6" t="s">
        <v>592</v>
      </c>
      <c r="R7" s="6" t="s">
        <v>598</v>
      </c>
      <c r="S7" s="6">
        <v>12</v>
      </c>
      <c r="T7" s="6" t="s">
        <v>599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5">
        <f t="shared" si="3"/>
        <v>43</v>
      </c>
      <c r="D8" s="138" t="str">
        <f t="shared" si="4"/>
        <v>Ostali prihodi za posebne namjene</v>
      </c>
      <c r="E8" s="150">
        <v>652680000</v>
      </c>
      <c r="F8" s="189" t="str">
        <f t="shared" si="5"/>
        <v xml:space="preserve">Ostali prihodi za posebne namjene </v>
      </c>
      <c r="G8" s="183">
        <v>725500</v>
      </c>
      <c r="H8" s="183">
        <v>686800</v>
      </c>
      <c r="I8" s="183">
        <v>426200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600</v>
      </c>
      <c r="Q8" s="6">
        <v>614810041</v>
      </c>
      <c r="R8" s="6" t="s">
        <v>601</v>
      </c>
      <c r="S8" s="6">
        <v>41</v>
      </c>
      <c r="T8" s="6" t="s">
        <v>602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5">
        <f t="shared" si="3"/>
        <v>61</v>
      </c>
      <c r="D9" s="138" t="str">
        <f t="shared" si="4"/>
        <v xml:space="preserve">Donacije </v>
      </c>
      <c r="E9" s="150">
        <v>663120000</v>
      </c>
      <c r="F9" s="189" t="str">
        <f t="shared" si="5"/>
        <v>Tekuće donacije od neprofitnih organizacija</v>
      </c>
      <c r="G9" s="183">
        <v>137500</v>
      </c>
      <c r="H9" s="183">
        <v>22500</v>
      </c>
      <c r="I9" s="183"/>
      <c r="K9" s="141" t="str">
        <f t="shared" si="6"/>
        <v>663</v>
      </c>
      <c r="L9" s="141" t="str">
        <f t="shared" si="7"/>
        <v>66</v>
      </c>
      <c r="M9">
        <v>41</v>
      </c>
      <c r="N9" t="s">
        <v>602</v>
      </c>
      <c r="Q9" s="6">
        <v>614820041</v>
      </c>
      <c r="R9" s="6" t="s">
        <v>603</v>
      </c>
      <c r="S9" s="6">
        <v>41</v>
      </c>
      <c r="T9" s="6" t="s">
        <v>602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5">
        <f t="shared" si="3"/>
        <v>43</v>
      </c>
      <c r="D10" s="138" t="str">
        <f t="shared" si="4"/>
        <v>Ostali prihodi za posebne namjene</v>
      </c>
      <c r="E10" s="150">
        <v>652680000</v>
      </c>
      <c r="F10" s="189" t="str">
        <f t="shared" si="5"/>
        <v xml:space="preserve">Ostali prihodi za posebne namjene </v>
      </c>
      <c r="G10" s="183">
        <v>244420</v>
      </c>
      <c r="H10" s="183">
        <v>267400</v>
      </c>
      <c r="I10" s="183"/>
      <c r="K10" s="141" t="str">
        <f t="shared" si="6"/>
        <v>652</v>
      </c>
      <c r="L10" s="141" t="str">
        <f t="shared" si="7"/>
        <v>65</v>
      </c>
      <c r="M10" s="141">
        <v>43</v>
      </c>
      <c r="N10" s="141" t="s">
        <v>604</v>
      </c>
      <c r="Q10" s="6">
        <v>614830041</v>
      </c>
      <c r="R10" s="6" t="s">
        <v>605</v>
      </c>
      <c r="S10" s="6">
        <v>41</v>
      </c>
      <c r="T10" s="6" t="s">
        <v>602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5">
        <f t="shared" si="3"/>
        <v>43</v>
      </c>
      <c r="D11" s="138" t="str">
        <f t="shared" si="4"/>
        <v>Ostali prihodi za posebne namjene</v>
      </c>
      <c r="E11" s="150">
        <v>652680000</v>
      </c>
      <c r="F11" s="189" t="str">
        <f t="shared" si="5"/>
        <v xml:space="preserve">Ostali prihodi za posebne namjene </v>
      </c>
      <c r="G11" s="183">
        <v>4850</v>
      </c>
      <c r="H11" s="183"/>
      <c r="I11" s="183"/>
      <c r="K11" s="141" t="str">
        <f t="shared" si="6"/>
        <v>652</v>
      </c>
      <c r="L11" s="141" t="str">
        <f t="shared" si="7"/>
        <v>65</v>
      </c>
      <c r="M11" s="141">
        <v>51</v>
      </c>
      <c r="N11" s="141" t="s">
        <v>606</v>
      </c>
      <c r="Q11" s="6">
        <v>614840041</v>
      </c>
      <c r="R11" s="6" t="s">
        <v>607</v>
      </c>
      <c r="S11" s="6">
        <v>41</v>
      </c>
      <c r="T11" s="6" t="s">
        <v>602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5">
        <f t="shared" si="3"/>
        <v>43</v>
      </c>
      <c r="D12" s="138" t="str">
        <f t="shared" si="4"/>
        <v>Ostali prihodi za posebne namjene</v>
      </c>
      <c r="E12" s="150">
        <v>652680000</v>
      </c>
      <c r="F12" s="189" t="str">
        <f t="shared" si="5"/>
        <v xml:space="preserve">Ostali prihodi za posebne namjene </v>
      </c>
      <c r="G12" s="183">
        <v>130550</v>
      </c>
      <c r="H12" s="183">
        <v>73500</v>
      </c>
      <c r="I12" s="183"/>
      <c r="K12" s="141" t="str">
        <f t="shared" si="6"/>
        <v>652</v>
      </c>
      <c r="L12" s="141" t="str">
        <f t="shared" si="7"/>
        <v>65</v>
      </c>
      <c r="M12" s="141">
        <v>52</v>
      </c>
      <c r="N12" s="141" t="s">
        <v>608</v>
      </c>
      <c r="Q12" s="6">
        <v>631110000</v>
      </c>
      <c r="R12" s="6" t="s">
        <v>609</v>
      </c>
      <c r="S12" s="6">
        <v>52</v>
      </c>
      <c r="T12" s="6" t="s">
        <v>610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5">
        <f t="shared" si="3"/>
        <v>51</v>
      </c>
      <c r="D13" s="138" t="str">
        <f t="shared" si="4"/>
        <v xml:space="preserve">Pomoći EU </v>
      </c>
      <c r="E13" s="150">
        <v>632311700</v>
      </c>
      <c r="F13" s="189" t="str">
        <f t="shared" si="5"/>
        <v>Tekuće pomoći od institucija i tijela EU - ostalo</v>
      </c>
      <c r="G13" s="183">
        <v>378300</v>
      </c>
      <c r="H13" s="183">
        <v>378300</v>
      </c>
      <c r="I13" s="183">
        <v>17500</v>
      </c>
      <c r="K13" s="141" t="str">
        <f t="shared" si="6"/>
        <v>632</v>
      </c>
      <c r="L13" s="141" t="str">
        <f t="shared" si="7"/>
        <v>63</v>
      </c>
      <c r="M13">
        <v>552</v>
      </c>
      <c r="N13" t="s">
        <v>611</v>
      </c>
      <c r="Q13" s="6">
        <v>631120000</v>
      </c>
      <c r="R13" s="6" t="s">
        <v>612</v>
      </c>
      <c r="S13" s="6">
        <v>52</v>
      </c>
      <c r="T13" s="6" t="s">
        <v>610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5">
        <f t="shared" si="3"/>
        <v>51</v>
      </c>
      <c r="D14" s="138" t="str">
        <f t="shared" si="4"/>
        <v xml:space="preserve">Pomoći EU </v>
      </c>
      <c r="E14" s="150">
        <v>632311700</v>
      </c>
      <c r="F14" s="189" t="str">
        <f t="shared" si="5"/>
        <v>Tekuće pomoći od institucija i tijela EU - ostalo</v>
      </c>
      <c r="G14" s="183">
        <v>59000</v>
      </c>
      <c r="H14" s="183"/>
      <c r="I14" s="183"/>
      <c r="K14" s="141" t="str">
        <f t="shared" si="6"/>
        <v>632</v>
      </c>
      <c r="L14" s="141" t="str">
        <f t="shared" si="7"/>
        <v>63</v>
      </c>
      <c r="M14">
        <v>559</v>
      </c>
      <c r="N14" t="s">
        <v>613</v>
      </c>
      <c r="Q14" s="6">
        <v>631210000</v>
      </c>
      <c r="R14" s="6" t="s">
        <v>614</v>
      </c>
      <c r="S14" s="6">
        <v>52</v>
      </c>
      <c r="T14" s="6" t="s">
        <v>610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5">
        <f t="shared" si="3"/>
        <v>52</v>
      </c>
      <c r="D15" s="138" t="str">
        <f t="shared" si="4"/>
        <v xml:space="preserve">Ostale pomoći i darovnice </v>
      </c>
      <c r="E15" s="150">
        <v>639110000</v>
      </c>
      <c r="F15" s="189" t="str">
        <f t="shared" si="5"/>
        <v>Tekući prijenosi između proračunskih korisnika istog proračuna</v>
      </c>
      <c r="G15" s="183">
        <v>5893</v>
      </c>
      <c r="H15" s="183">
        <v>5219</v>
      </c>
      <c r="I15" s="183"/>
      <c r="K15" s="141" t="str">
        <f t="shared" si="6"/>
        <v>639</v>
      </c>
      <c r="L15" s="141" t="str">
        <f t="shared" si="7"/>
        <v>63</v>
      </c>
      <c r="M15" s="141">
        <v>561</v>
      </c>
      <c r="N15" s="141" t="s">
        <v>615</v>
      </c>
      <c r="Q15" s="6">
        <v>631220000</v>
      </c>
      <c r="R15" s="6" t="s">
        <v>616</v>
      </c>
      <c r="S15" s="6">
        <v>52</v>
      </c>
      <c r="T15" s="6" t="s">
        <v>610</v>
      </c>
      <c r="U15">
        <v>631</v>
      </c>
    </row>
    <row r="16" spans="1:21">
      <c r="A16" s="139" t="str">
        <f>IF(E16="","",VLOOKUP('Opći dio'!$C$3,'Opći dio'!$L$6:$U$136,10,FALSE))</f>
        <v>08006</v>
      </c>
      <c r="B16" s="139" t="str">
        <f>IF(E16="","",VLOOKUP('Opći dio'!$C$3,'Opći dio'!$L$6:$U$136,9,FALSE))</f>
        <v>Sveučilišta i veleučilišta u Republici Hrvatskoj</v>
      </c>
      <c r="C16" s="185">
        <f t="shared" si="3"/>
        <v>52</v>
      </c>
      <c r="D16" s="138" t="str">
        <f t="shared" si="4"/>
        <v xml:space="preserve">Ostale pomoći i darovnice </v>
      </c>
      <c r="E16" s="150">
        <v>639110000</v>
      </c>
      <c r="F16" s="189" t="str">
        <f t="shared" si="5"/>
        <v>Tekući prijenosi između proračunskih korisnika istog proračuna</v>
      </c>
      <c r="G16" s="183">
        <v>176211</v>
      </c>
      <c r="H16" s="183">
        <v>167211</v>
      </c>
      <c r="I16" s="183">
        <v>165570</v>
      </c>
      <c r="K16" s="141" t="str">
        <f t="shared" si="6"/>
        <v>639</v>
      </c>
      <c r="L16" s="141" t="str">
        <f t="shared" si="7"/>
        <v>63</v>
      </c>
      <c r="M16" s="141">
        <v>563</v>
      </c>
      <c r="N16" s="141" t="s">
        <v>617</v>
      </c>
      <c r="Q16" s="6">
        <v>632112000</v>
      </c>
      <c r="R16" s="6" t="s">
        <v>618</v>
      </c>
      <c r="S16" s="6">
        <v>52</v>
      </c>
      <c r="T16" s="6" t="s">
        <v>610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5" t="str">
        <f t="shared" si="3"/>
        <v/>
      </c>
      <c r="D17" s="138" t="str">
        <f t="shared" si="4"/>
        <v/>
      </c>
      <c r="E17" s="150"/>
      <c r="F17" s="189" t="str">
        <f t="shared" si="5"/>
        <v/>
      </c>
      <c r="G17" s="183"/>
      <c r="H17" s="183"/>
      <c r="I17" s="183"/>
      <c r="K17" s="141" t="str">
        <f t="shared" si="6"/>
        <v/>
      </c>
      <c r="L17" s="141" t="str">
        <f t="shared" si="7"/>
        <v/>
      </c>
      <c r="M17" s="141">
        <v>573</v>
      </c>
      <c r="N17" t="s">
        <v>619</v>
      </c>
      <c r="Q17" s="6">
        <v>632212000</v>
      </c>
      <c r="R17" s="6" t="s">
        <v>620</v>
      </c>
      <c r="S17" s="6">
        <v>52</v>
      </c>
      <c r="T17" s="6" t="s">
        <v>610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5" t="str">
        <f t="shared" si="3"/>
        <v/>
      </c>
      <c r="D18" s="138" t="str">
        <f t="shared" si="4"/>
        <v/>
      </c>
      <c r="E18" s="150"/>
      <c r="F18" s="189" t="str">
        <f t="shared" si="5"/>
        <v/>
      </c>
      <c r="G18" s="183"/>
      <c r="H18" s="183"/>
      <c r="I18" s="183"/>
      <c r="K18" s="141" t="str">
        <f t="shared" si="6"/>
        <v/>
      </c>
      <c r="L18" s="141" t="str">
        <f t="shared" si="7"/>
        <v/>
      </c>
      <c r="M18">
        <v>575</v>
      </c>
      <c r="N18" t="s">
        <v>621</v>
      </c>
      <c r="Q18" s="6">
        <v>632310552</v>
      </c>
      <c r="R18" s="6" t="s">
        <v>622</v>
      </c>
      <c r="S18" s="6">
        <v>552</v>
      </c>
      <c r="T18" s="6" t="s">
        <v>611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5" t="str">
        <f t="shared" si="3"/>
        <v/>
      </c>
      <c r="D19" s="138" t="str">
        <f t="shared" si="4"/>
        <v/>
      </c>
      <c r="E19" s="150"/>
      <c r="F19" s="189" t="str">
        <f t="shared" si="5"/>
        <v/>
      </c>
      <c r="G19" s="183"/>
      <c r="H19" s="183"/>
      <c r="I19" s="183"/>
      <c r="K19" s="141" t="str">
        <f t="shared" si="6"/>
        <v/>
      </c>
      <c r="L19" s="141" t="str">
        <f t="shared" si="7"/>
        <v/>
      </c>
      <c r="M19" s="219">
        <v>576</v>
      </c>
      <c r="N19" s="220" t="s">
        <v>623</v>
      </c>
      <c r="Q19" s="6">
        <v>632310559</v>
      </c>
      <c r="R19" s="6" t="s">
        <v>624</v>
      </c>
      <c r="S19" s="6">
        <v>559</v>
      </c>
      <c r="T19" s="6" t="s">
        <v>613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5" t="str">
        <f t="shared" si="3"/>
        <v/>
      </c>
      <c r="D20" s="138" t="str">
        <f t="shared" si="4"/>
        <v/>
      </c>
      <c r="E20" s="150"/>
      <c r="F20" s="189" t="str">
        <f t="shared" si="5"/>
        <v/>
      </c>
      <c r="G20" s="183"/>
      <c r="H20" s="183"/>
      <c r="I20" s="183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625</v>
      </c>
      <c r="Q20" s="6">
        <v>632310573</v>
      </c>
      <c r="R20" s="6" t="s">
        <v>626</v>
      </c>
      <c r="S20" s="6">
        <v>573</v>
      </c>
      <c r="T20" s="6" t="s">
        <v>619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5" t="str">
        <f t="shared" si="3"/>
        <v/>
      </c>
      <c r="D21" s="138" t="str">
        <f t="shared" si="4"/>
        <v/>
      </c>
      <c r="E21" s="150"/>
      <c r="F21" s="189" t="str">
        <f t="shared" si="5"/>
        <v/>
      </c>
      <c r="G21" s="183"/>
      <c r="H21" s="183"/>
      <c r="I21" s="183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627</v>
      </c>
      <c r="Q21" s="6">
        <v>632310575</v>
      </c>
      <c r="R21" s="6" t="s">
        <v>628</v>
      </c>
      <c r="S21" s="6">
        <v>575</v>
      </c>
      <c r="T21" s="6" t="s">
        <v>621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5" t="str">
        <f t="shared" si="3"/>
        <v/>
      </c>
      <c r="D22" s="138" t="str">
        <f t="shared" si="4"/>
        <v/>
      </c>
      <c r="E22" s="150"/>
      <c r="F22" s="189" t="str">
        <f t="shared" si="5"/>
        <v/>
      </c>
      <c r="G22" s="183"/>
      <c r="H22" s="183"/>
      <c r="I22" s="183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629</v>
      </c>
      <c r="Q22" s="6">
        <v>632310576</v>
      </c>
      <c r="R22" s="6" t="s">
        <v>630</v>
      </c>
      <c r="S22" s="6">
        <v>576</v>
      </c>
      <c r="T22" s="6" t="s">
        <v>631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5" t="str">
        <f t="shared" si="3"/>
        <v/>
      </c>
      <c r="D23" s="138" t="str">
        <f t="shared" si="4"/>
        <v/>
      </c>
      <c r="E23" s="150"/>
      <c r="F23" s="189" t="str">
        <f t="shared" si="5"/>
        <v/>
      </c>
      <c r="G23" s="183"/>
      <c r="H23" s="183"/>
      <c r="I23" s="183"/>
      <c r="K23" s="141" t="str">
        <f t="shared" si="6"/>
        <v/>
      </c>
      <c r="L23" s="141" t="str">
        <f t="shared" si="7"/>
        <v/>
      </c>
      <c r="M23">
        <v>83</v>
      </c>
      <c r="N23" t="s">
        <v>632</v>
      </c>
      <c r="Q23" s="6">
        <v>632311700</v>
      </c>
      <c r="R23" s="6" t="s">
        <v>633</v>
      </c>
      <c r="S23" s="6">
        <v>51</v>
      </c>
      <c r="T23" s="6" t="s">
        <v>634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5" t="str">
        <f t="shared" si="3"/>
        <v/>
      </c>
      <c r="D24" s="138" t="str">
        <f t="shared" si="4"/>
        <v/>
      </c>
      <c r="E24" s="150"/>
      <c r="F24" s="189" t="str">
        <f t="shared" si="5"/>
        <v/>
      </c>
      <c r="G24" s="183"/>
      <c r="H24" s="183"/>
      <c r="I24" s="183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635</v>
      </c>
      <c r="S24" s="6">
        <v>51</v>
      </c>
      <c r="T24" s="6" t="s">
        <v>634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5" t="str">
        <f t="shared" si="3"/>
        <v/>
      </c>
      <c r="D25" s="138" t="str">
        <f t="shared" si="4"/>
        <v/>
      </c>
      <c r="E25" s="150"/>
      <c r="F25" s="189" t="str">
        <f t="shared" si="5"/>
        <v/>
      </c>
      <c r="G25" s="183"/>
      <c r="H25" s="183"/>
      <c r="I25" s="183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636</v>
      </c>
      <c r="S25" s="6">
        <v>552</v>
      </c>
      <c r="T25" s="6" t="s">
        <v>611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5" t="str">
        <f t="shared" si="3"/>
        <v/>
      </c>
      <c r="D26" s="138" t="str">
        <f t="shared" si="4"/>
        <v/>
      </c>
      <c r="E26" s="150"/>
      <c r="F26" s="189" t="str">
        <f t="shared" si="5"/>
        <v/>
      </c>
      <c r="G26" s="183"/>
      <c r="H26" s="183"/>
      <c r="I26" s="183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637</v>
      </c>
      <c r="S26" s="6">
        <v>559</v>
      </c>
      <c r="T26" s="6" t="s">
        <v>613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5" t="str">
        <f t="shared" si="3"/>
        <v/>
      </c>
      <c r="D27" s="138" t="str">
        <f t="shared" si="4"/>
        <v/>
      </c>
      <c r="E27" s="150"/>
      <c r="F27" s="189" t="str">
        <f t="shared" si="5"/>
        <v/>
      </c>
      <c r="G27" s="183"/>
      <c r="H27" s="183"/>
      <c r="I27" s="183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638</v>
      </c>
      <c r="S27" s="6">
        <v>573</v>
      </c>
      <c r="T27" s="6" t="s">
        <v>619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5" t="str">
        <f t="shared" si="3"/>
        <v/>
      </c>
      <c r="D28" s="138" t="str">
        <f t="shared" si="4"/>
        <v/>
      </c>
      <c r="E28" s="150"/>
      <c r="F28" s="189" t="str">
        <f t="shared" si="5"/>
        <v/>
      </c>
      <c r="G28" s="183"/>
      <c r="H28" s="183"/>
      <c r="I28" s="183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639</v>
      </c>
      <c r="S28" s="6">
        <v>575</v>
      </c>
      <c r="T28" s="6" t="s">
        <v>621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5" t="str">
        <f t="shared" si="3"/>
        <v/>
      </c>
      <c r="D29" s="138" t="str">
        <f t="shared" si="4"/>
        <v/>
      </c>
      <c r="E29" s="150"/>
      <c r="F29" s="189" t="str">
        <f t="shared" si="5"/>
        <v/>
      </c>
      <c r="G29" s="183"/>
      <c r="H29" s="183"/>
      <c r="I29" s="183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640</v>
      </c>
      <c r="S29" s="6">
        <v>576</v>
      </c>
      <c r="T29" s="6" t="s">
        <v>631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5" t="str">
        <f t="shared" si="3"/>
        <v/>
      </c>
      <c r="D30" s="138" t="str">
        <f t="shared" si="4"/>
        <v/>
      </c>
      <c r="E30" s="150"/>
      <c r="F30" s="189" t="str">
        <f t="shared" si="5"/>
        <v/>
      </c>
      <c r="G30" s="183"/>
      <c r="H30" s="183"/>
      <c r="I30" s="183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641</v>
      </c>
      <c r="S30" s="6">
        <v>51</v>
      </c>
      <c r="T30" s="6" t="s">
        <v>634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5" t="str">
        <f t="shared" si="3"/>
        <v/>
      </c>
      <c r="D31" s="138" t="str">
        <f t="shared" si="4"/>
        <v/>
      </c>
      <c r="E31" s="150"/>
      <c r="F31" s="189" t="str">
        <f t="shared" si="5"/>
        <v/>
      </c>
      <c r="G31" s="183"/>
      <c r="H31" s="183"/>
      <c r="I31" s="183"/>
      <c r="K31" s="141" t="str">
        <f t="shared" si="6"/>
        <v/>
      </c>
      <c r="L31" s="141" t="str">
        <f t="shared" si="7"/>
        <v/>
      </c>
      <c r="Q31" s="6">
        <v>6341</v>
      </c>
      <c r="R31" s="6" t="s">
        <v>642</v>
      </c>
      <c r="S31" s="6">
        <v>52</v>
      </c>
      <c r="T31" s="6" t="s">
        <v>610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5" t="str">
        <f t="shared" si="3"/>
        <v/>
      </c>
      <c r="D32" s="138" t="str">
        <f t="shared" si="4"/>
        <v/>
      </c>
      <c r="E32" s="150"/>
      <c r="F32" s="189" t="str">
        <f t="shared" si="5"/>
        <v/>
      </c>
      <c r="G32" s="183"/>
      <c r="H32" s="183"/>
      <c r="I32" s="183"/>
      <c r="K32" s="141" t="str">
        <f t="shared" si="6"/>
        <v/>
      </c>
      <c r="L32" s="141" t="str">
        <f t="shared" si="7"/>
        <v/>
      </c>
      <c r="Q32" s="6">
        <v>6342</v>
      </c>
      <c r="R32" s="6" t="s">
        <v>643</v>
      </c>
      <c r="S32" s="6">
        <v>52</v>
      </c>
      <c r="T32" s="6" t="s">
        <v>610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5" t="str">
        <f t="shared" si="3"/>
        <v/>
      </c>
      <c r="D33" s="138" t="str">
        <f t="shared" si="4"/>
        <v/>
      </c>
      <c r="E33" s="150"/>
      <c r="F33" s="189" t="str">
        <f t="shared" si="5"/>
        <v/>
      </c>
      <c r="G33" s="183"/>
      <c r="H33" s="183"/>
      <c r="I33" s="183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644</v>
      </c>
      <c r="S33" s="6">
        <v>52</v>
      </c>
      <c r="T33" s="6" t="s">
        <v>610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5" t="str">
        <f t="shared" si="3"/>
        <v/>
      </c>
      <c r="D34" s="138" t="str">
        <f t="shared" si="4"/>
        <v/>
      </c>
      <c r="E34" s="150"/>
      <c r="F34" s="189" t="str">
        <f t="shared" si="5"/>
        <v/>
      </c>
      <c r="G34" s="183"/>
      <c r="H34" s="183"/>
      <c r="I34" s="183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645</v>
      </c>
      <c r="S34" s="6">
        <v>52</v>
      </c>
      <c r="T34" s="6" t="s">
        <v>610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5" t="str">
        <f t="shared" si="3"/>
        <v/>
      </c>
      <c r="D35" s="138" t="str">
        <f t="shared" si="4"/>
        <v/>
      </c>
      <c r="E35" s="150"/>
      <c r="F35" s="189" t="str">
        <f t="shared" si="5"/>
        <v/>
      </c>
      <c r="G35" s="183"/>
      <c r="H35" s="183"/>
      <c r="I35" s="183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646</v>
      </c>
      <c r="S35" s="6">
        <v>52</v>
      </c>
      <c r="T35" s="6" t="s">
        <v>610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5" t="str">
        <f t="shared" si="3"/>
        <v/>
      </c>
      <c r="D36" s="138" t="str">
        <f t="shared" si="4"/>
        <v/>
      </c>
      <c r="E36" s="150"/>
      <c r="F36" s="189" t="str">
        <f t="shared" si="5"/>
        <v/>
      </c>
      <c r="G36" s="183"/>
      <c r="H36" s="183"/>
      <c r="I36" s="183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647</v>
      </c>
      <c r="S36" s="6">
        <v>52</v>
      </c>
      <c r="T36" s="6" t="s">
        <v>610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5" t="str">
        <f t="shared" si="3"/>
        <v/>
      </c>
      <c r="D37" s="138" t="str">
        <f t="shared" si="4"/>
        <v/>
      </c>
      <c r="E37" s="150"/>
      <c r="F37" s="189" t="str">
        <f t="shared" si="5"/>
        <v/>
      </c>
      <c r="G37" s="183"/>
      <c r="H37" s="183"/>
      <c r="I37" s="183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648</v>
      </c>
      <c r="S37" s="6">
        <v>52</v>
      </c>
      <c r="T37" s="6" t="s">
        <v>610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5" t="str">
        <f t="shared" si="3"/>
        <v/>
      </c>
      <c r="D38" s="138" t="str">
        <f t="shared" si="4"/>
        <v/>
      </c>
      <c r="E38" s="150"/>
      <c r="F38" s="189" t="str">
        <f t="shared" si="5"/>
        <v/>
      </c>
      <c r="G38" s="183"/>
      <c r="H38" s="183"/>
      <c r="I38" s="183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649</v>
      </c>
      <c r="S38" s="6">
        <v>52</v>
      </c>
      <c r="T38" s="6" t="s">
        <v>610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5" t="str">
        <f t="shared" si="3"/>
        <v/>
      </c>
      <c r="D39" s="138" t="str">
        <f t="shared" si="4"/>
        <v/>
      </c>
      <c r="E39" s="150"/>
      <c r="F39" s="189" t="str">
        <f t="shared" si="5"/>
        <v/>
      </c>
      <c r="G39" s="183"/>
      <c r="H39" s="183"/>
      <c r="I39" s="183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650</v>
      </c>
      <c r="S39" s="6">
        <v>52</v>
      </c>
      <c r="T39" s="6" t="s">
        <v>610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5" t="str">
        <f t="shared" si="3"/>
        <v/>
      </c>
      <c r="D40" s="138" t="str">
        <f t="shared" si="4"/>
        <v/>
      </c>
      <c r="E40" s="150"/>
      <c r="F40" s="189" t="str">
        <f t="shared" si="5"/>
        <v/>
      </c>
      <c r="G40" s="183"/>
      <c r="H40" s="183"/>
      <c r="I40" s="183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651</v>
      </c>
      <c r="S40" s="6">
        <v>52</v>
      </c>
      <c r="T40" s="6" t="s">
        <v>610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5" t="str">
        <f t="shared" si="3"/>
        <v/>
      </c>
      <c r="D41" s="138" t="str">
        <f t="shared" si="4"/>
        <v/>
      </c>
      <c r="E41" s="150"/>
      <c r="F41" s="189" t="str">
        <f t="shared" si="5"/>
        <v/>
      </c>
      <c r="G41" s="183"/>
      <c r="H41" s="183"/>
      <c r="I41" s="183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652</v>
      </c>
      <c r="S41" s="6">
        <v>52</v>
      </c>
      <c r="T41" s="6" t="s">
        <v>610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5" t="str">
        <f t="shared" si="3"/>
        <v/>
      </c>
      <c r="D42" s="138" t="str">
        <f t="shared" si="4"/>
        <v/>
      </c>
      <c r="E42" s="150"/>
      <c r="F42" s="189" t="str">
        <f t="shared" si="5"/>
        <v/>
      </c>
      <c r="G42" s="183"/>
      <c r="H42" s="183"/>
      <c r="I42" s="183"/>
      <c r="K42" s="141" t="str">
        <f>LEFT(E42,3)</f>
        <v/>
      </c>
      <c r="L42" s="141" t="str">
        <f>LEFT(E42,2)</f>
        <v/>
      </c>
      <c r="Q42" s="6">
        <v>639210000</v>
      </c>
      <c r="R42" s="6" t="s">
        <v>653</v>
      </c>
      <c r="S42" s="6">
        <v>52</v>
      </c>
      <c r="T42" s="6" t="s">
        <v>610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5" t="str">
        <f t="shared" si="3"/>
        <v/>
      </c>
      <c r="D43" s="138" t="str">
        <f t="shared" si="4"/>
        <v/>
      </c>
      <c r="E43" s="150"/>
      <c r="F43" s="189" t="str">
        <f t="shared" si="5"/>
        <v/>
      </c>
      <c r="G43" s="183"/>
      <c r="H43" s="183"/>
      <c r="I43" s="183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654</v>
      </c>
      <c r="S43" s="6">
        <v>52</v>
      </c>
      <c r="T43" s="6" t="s">
        <v>610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5" t="str">
        <f t="shared" si="3"/>
        <v/>
      </c>
      <c r="D44" s="138" t="str">
        <f t="shared" si="4"/>
        <v/>
      </c>
      <c r="E44" s="150"/>
      <c r="F44" s="189" t="str">
        <f t="shared" si="5"/>
        <v/>
      </c>
      <c r="G44" s="183"/>
      <c r="H44" s="183"/>
      <c r="I44" s="183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655</v>
      </c>
      <c r="S44" s="6">
        <v>52</v>
      </c>
      <c r="T44" s="6" t="s">
        <v>610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5" t="str">
        <f t="shared" si="3"/>
        <v/>
      </c>
      <c r="D45" s="138" t="str">
        <f t="shared" si="4"/>
        <v/>
      </c>
      <c r="E45" s="150"/>
      <c r="F45" s="189" t="str">
        <f t="shared" si="5"/>
        <v/>
      </c>
      <c r="G45" s="183"/>
      <c r="H45" s="183"/>
      <c r="I45" s="183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656</v>
      </c>
      <c r="S45" s="6">
        <v>31</v>
      </c>
      <c r="T45" s="6" t="s">
        <v>600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5" t="str">
        <f t="shared" si="3"/>
        <v/>
      </c>
      <c r="D46" s="138" t="str">
        <f t="shared" si="4"/>
        <v/>
      </c>
      <c r="E46" s="150"/>
      <c r="F46" s="189" t="str">
        <f t="shared" si="5"/>
        <v/>
      </c>
      <c r="G46" s="183"/>
      <c r="H46" s="183"/>
      <c r="I46" s="183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657</v>
      </c>
      <c r="S46" s="6">
        <v>31</v>
      </c>
      <c r="T46" s="6" t="s">
        <v>600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5" t="str">
        <f t="shared" si="3"/>
        <v/>
      </c>
      <c r="D47" s="138" t="str">
        <f t="shared" si="4"/>
        <v/>
      </c>
      <c r="E47" s="150"/>
      <c r="F47" s="189" t="str">
        <f t="shared" si="5"/>
        <v/>
      </c>
      <c r="G47" s="183"/>
      <c r="H47" s="183"/>
      <c r="I47" s="183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658</v>
      </c>
      <c r="S47" s="6">
        <v>31</v>
      </c>
      <c r="T47" s="6" t="s">
        <v>600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5" t="str">
        <f t="shared" si="3"/>
        <v/>
      </c>
      <c r="D48" s="138" t="str">
        <f t="shared" si="4"/>
        <v/>
      </c>
      <c r="E48" s="150"/>
      <c r="F48" s="189" t="str">
        <f t="shared" si="5"/>
        <v/>
      </c>
      <c r="G48" s="183"/>
      <c r="H48" s="183"/>
      <c r="I48" s="183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659</v>
      </c>
      <c r="S48" s="6">
        <v>43</v>
      </c>
      <c r="T48" s="6" t="s">
        <v>604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5" t="str">
        <f t="shared" si="3"/>
        <v/>
      </c>
      <c r="D49" s="138" t="str">
        <f t="shared" si="4"/>
        <v/>
      </c>
      <c r="E49" s="150"/>
      <c r="F49" s="189" t="str">
        <f t="shared" si="5"/>
        <v/>
      </c>
      <c r="G49" s="183"/>
      <c r="H49" s="183"/>
      <c r="I49" s="183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660</v>
      </c>
      <c r="S49" s="6">
        <v>31</v>
      </c>
      <c r="T49" s="6" t="s">
        <v>600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5" t="str">
        <f t="shared" si="3"/>
        <v/>
      </c>
      <c r="D50" s="138" t="str">
        <f t="shared" si="4"/>
        <v/>
      </c>
      <c r="E50" s="150"/>
      <c r="F50" s="189" t="str">
        <f t="shared" si="5"/>
        <v/>
      </c>
      <c r="G50" s="183"/>
      <c r="H50" s="183"/>
      <c r="I50" s="183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661</v>
      </c>
      <c r="S50" s="6">
        <v>43</v>
      </c>
      <c r="T50" s="6" t="s">
        <v>604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5" t="str">
        <f t="shared" si="3"/>
        <v/>
      </c>
      <c r="D51" s="138" t="str">
        <f t="shared" si="4"/>
        <v/>
      </c>
      <c r="E51" s="150"/>
      <c r="F51" s="189" t="str">
        <f t="shared" si="5"/>
        <v/>
      </c>
      <c r="G51" s="183"/>
      <c r="H51" s="183"/>
      <c r="I51" s="183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662</v>
      </c>
      <c r="S51" s="6">
        <v>31</v>
      </c>
      <c r="T51" s="6" t="s">
        <v>600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5" t="str">
        <f t="shared" si="3"/>
        <v/>
      </c>
      <c r="D52" s="138" t="str">
        <f t="shared" si="4"/>
        <v/>
      </c>
      <c r="E52" s="150"/>
      <c r="F52" s="189" t="str">
        <f t="shared" si="5"/>
        <v/>
      </c>
      <c r="G52" s="183"/>
      <c r="H52" s="183"/>
      <c r="I52" s="183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663</v>
      </c>
      <c r="S52" s="6">
        <v>43</v>
      </c>
      <c r="T52" s="6" t="s">
        <v>604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5" t="str">
        <f t="shared" si="3"/>
        <v/>
      </c>
      <c r="D53" s="138" t="str">
        <f t="shared" si="4"/>
        <v/>
      </c>
      <c r="E53" s="150"/>
      <c r="F53" s="189" t="str">
        <f t="shared" si="5"/>
        <v/>
      </c>
      <c r="G53" s="183"/>
      <c r="H53" s="183"/>
      <c r="I53" s="183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664</v>
      </c>
      <c r="S53" s="6">
        <v>41</v>
      </c>
      <c r="T53" s="6" t="s">
        <v>602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5" t="str">
        <f t="shared" si="3"/>
        <v/>
      </c>
      <c r="D54" s="138" t="str">
        <f t="shared" si="4"/>
        <v/>
      </c>
      <c r="E54" s="150"/>
      <c r="F54" s="189" t="str">
        <f t="shared" si="5"/>
        <v/>
      </c>
      <c r="G54" s="183"/>
      <c r="H54" s="183"/>
      <c r="I54" s="183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665</v>
      </c>
      <c r="S54" s="6">
        <v>43</v>
      </c>
      <c r="T54" s="6" t="s">
        <v>604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5" t="str">
        <f t="shared" si="3"/>
        <v/>
      </c>
      <c r="D55" s="138" t="str">
        <f t="shared" si="4"/>
        <v/>
      </c>
      <c r="E55" s="150"/>
      <c r="F55" s="189" t="str">
        <f t="shared" si="5"/>
        <v/>
      </c>
      <c r="G55" s="183"/>
      <c r="H55" s="183"/>
      <c r="I55" s="183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666</v>
      </c>
      <c r="S55" s="6">
        <v>31</v>
      </c>
      <c r="T55" s="6" t="s">
        <v>600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5" t="str">
        <f t="shared" si="3"/>
        <v/>
      </c>
      <c r="D56" s="138" t="str">
        <f t="shared" si="4"/>
        <v/>
      </c>
      <c r="E56" s="150"/>
      <c r="F56" s="189" t="str">
        <f t="shared" si="5"/>
        <v/>
      </c>
      <c r="G56" s="183"/>
      <c r="H56" s="183"/>
      <c r="I56" s="183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667</v>
      </c>
      <c r="S56" s="6">
        <v>31</v>
      </c>
      <c r="T56" s="6" t="s">
        <v>600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5" t="str">
        <f t="shared" si="3"/>
        <v/>
      </c>
      <c r="D57" s="138" t="str">
        <f t="shared" si="4"/>
        <v/>
      </c>
      <c r="E57" s="150"/>
      <c r="F57" s="189" t="str">
        <f t="shared" si="5"/>
        <v/>
      </c>
      <c r="G57" s="183"/>
      <c r="H57" s="183"/>
      <c r="I57" s="183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668</v>
      </c>
      <c r="S57" s="6">
        <v>43</v>
      </c>
      <c r="T57" s="6" t="s">
        <v>604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5" t="str">
        <f t="shared" si="3"/>
        <v/>
      </c>
      <c r="D58" s="138" t="str">
        <f t="shared" si="4"/>
        <v/>
      </c>
      <c r="E58" s="150"/>
      <c r="F58" s="189" t="str">
        <f t="shared" si="5"/>
        <v/>
      </c>
      <c r="G58" s="183"/>
      <c r="H58" s="183"/>
      <c r="I58" s="183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669</v>
      </c>
      <c r="S58" s="6">
        <v>43</v>
      </c>
      <c r="T58" s="6" t="s">
        <v>604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5" t="str">
        <f t="shared" si="3"/>
        <v/>
      </c>
      <c r="D59" s="138" t="str">
        <f t="shared" si="4"/>
        <v/>
      </c>
      <c r="E59" s="150"/>
      <c r="F59" s="189" t="str">
        <f t="shared" si="5"/>
        <v/>
      </c>
      <c r="G59" s="183"/>
      <c r="H59" s="183"/>
      <c r="I59" s="183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670</v>
      </c>
      <c r="S59" s="6">
        <v>43</v>
      </c>
      <c r="T59" s="6" t="s">
        <v>604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5" t="str">
        <f t="shared" si="3"/>
        <v/>
      </c>
      <c r="D60" s="138" t="str">
        <f t="shared" si="4"/>
        <v/>
      </c>
      <c r="E60" s="150"/>
      <c r="F60" s="189" t="str">
        <f t="shared" si="5"/>
        <v/>
      </c>
      <c r="G60" s="183"/>
      <c r="H60" s="183"/>
      <c r="I60" s="183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671</v>
      </c>
      <c r="S60" s="6">
        <v>43</v>
      </c>
      <c r="T60" s="6" t="s">
        <v>604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5" t="str">
        <f t="shared" si="3"/>
        <v/>
      </c>
      <c r="D61" s="138" t="str">
        <f t="shared" si="4"/>
        <v/>
      </c>
      <c r="E61" s="150"/>
      <c r="F61" s="189" t="str">
        <f t="shared" si="5"/>
        <v/>
      </c>
      <c r="G61" s="183"/>
      <c r="H61" s="183"/>
      <c r="I61" s="183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672</v>
      </c>
      <c r="S61" s="6">
        <v>43</v>
      </c>
      <c r="T61" s="6" t="s">
        <v>604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5" t="str">
        <f t="shared" si="3"/>
        <v/>
      </c>
      <c r="D62" s="138" t="str">
        <f t="shared" si="4"/>
        <v/>
      </c>
      <c r="E62" s="150"/>
      <c r="F62" s="189" t="str">
        <f t="shared" si="5"/>
        <v/>
      </c>
      <c r="G62" s="183"/>
      <c r="H62" s="183"/>
      <c r="I62" s="183"/>
      <c r="K62" s="141" t="str">
        <f t="shared" si="6"/>
        <v/>
      </c>
      <c r="L62" s="141" t="str">
        <f t="shared" si="7"/>
        <v/>
      </c>
      <c r="Q62" s="6">
        <v>6614</v>
      </c>
      <c r="R62" s="6" t="s">
        <v>673</v>
      </c>
      <c r="S62" s="6">
        <v>31</v>
      </c>
      <c r="T62" s="6" t="s">
        <v>600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5" t="str">
        <f t="shared" si="3"/>
        <v/>
      </c>
      <c r="D63" s="138" t="str">
        <f t="shared" si="4"/>
        <v/>
      </c>
      <c r="E63" s="150"/>
      <c r="F63" s="189" t="str">
        <f t="shared" si="5"/>
        <v/>
      </c>
      <c r="G63" s="183"/>
      <c r="H63" s="183"/>
      <c r="I63" s="183"/>
      <c r="K63" s="141" t="str">
        <f t="shared" si="6"/>
        <v/>
      </c>
      <c r="L63" s="141" t="str">
        <f t="shared" si="7"/>
        <v/>
      </c>
      <c r="Q63" s="6">
        <v>6615</v>
      </c>
      <c r="R63" s="6" t="s">
        <v>674</v>
      </c>
      <c r="S63" s="6">
        <v>31</v>
      </c>
      <c r="T63" s="6" t="s">
        <v>600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5" t="str">
        <f t="shared" si="3"/>
        <v/>
      </c>
      <c r="D64" s="138" t="str">
        <f t="shared" si="4"/>
        <v/>
      </c>
      <c r="E64" s="150"/>
      <c r="F64" s="189" t="str">
        <f t="shared" si="5"/>
        <v/>
      </c>
      <c r="G64" s="183"/>
      <c r="H64" s="183"/>
      <c r="I64" s="183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675</v>
      </c>
      <c r="S64" s="6">
        <v>61</v>
      </c>
      <c r="T64" s="6" t="s">
        <v>676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5" t="str">
        <f t="shared" si="3"/>
        <v/>
      </c>
      <c r="D65" s="138" t="str">
        <f t="shared" si="4"/>
        <v/>
      </c>
      <c r="E65" s="150"/>
      <c r="F65" s="189" t="str">
        <f t="shared" si="5"/>
        <v/>
      </c>
      <c r="G65" s="183"/>
      <c r="H65" s="183"/>
      <c r="I65" s="183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677</v>
      </c>
      <c r="S65" s="6">
        <v>61</v>
      </c>
      <c r="T65" s="6" t="s">
        <v>676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5" t="str">
        <f t="shared" si="3"/>
        <v/>
      </c>
      <c r="D66" s="138" t="str">
        <f t="shared" si="4"/>
        <v/>
      </c>
      <c r="E66" s="150"/>
      <c r="F66" s="189" t="str">
        <f t="shared" si="5"/>
        <v/>
      </c>
      <c r="G66" s="183"/>
      <c r="H66" s="183"/>
      <c r="I66" s="183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678</v>
      </c>
      <c r="S66" s="6">
        <v>61</v>
      </c>
      <c r="T66" s="6" t="s">
        <v>676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5" t="str">
        <f t="shared" si="3"/>
        <v/>
      </c>
      <c r="D67" s="138" t="str">
        <f t="shared" si="4"/>
        <v/>
      </c>
      <c r="E67" s="150"/>
      <c r="F67" s="189" t="str">
        <f t="shared" si="5"/>
        <v/>
      </c>
      <c r="G67" s="183"/>
      <c r="H67" s="183"/>
      <c r="I67" s="183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679</v>
      </c>
      <c r="S67" s="6">
        <v>61</v>
      </c>
      <c r="T67" s="6" t="s">
        <v>676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5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89" t="str">
        <f t="shared" ref="F68:F131" si="10">IFERROR(VLOOKUP(E68,$Q$6:$T$200,2,FALSE),"")</f>
        <v/>
      </c>
      <c r="G68" s="183"/>
      <c r="H68" s="183"/>
      <c r="I68" s="183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680</v>
      </c>
      <c r="S68" s="6">
        <v>61</v>
      </c>
      <c r="T68" s="6" t="s">
        <v>676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5" t="str">
        <f t="shared" si="8"/>
        <v/>
      </c>
      <c r="D69" s="138" t="str">
        <f t="shared" si="9"/>
        <v/>
      </c>
      <c r="E69" s="150"/>
      <c r="F69" s="189" t="str">
        <f t="shared" si="10"/>
        <v/>
      </c>
      <c r="G69" s="183"/>
      <c r="H69" s="183"/>
      <c r="I69" s="183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681</v>
      </c>
      <c r="S69" s="6">
        <v>61</v>
      </c>
      <c r="T69" s="6" t="s">
        <v>676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5" t="str">
        <f t="shared" si="8"/>
        <v/>
      </c>
      <c r="D70" s="138" t="str">
        <f t="shared" si="9"/>
        <v/>
      </c>
      <c r="E70" s="150"/>
      <c r="F70" s="189" t="str">
        <f t="shared" si="10"/>
        <v/>
      </c>
      <c r="G70" s="183"/>
      <c r="H70" s="183"/>
      <c r="I70" s="183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682</v>
      </c>
      <c r="S70" s="6">
        <v>61</v>
      </c>
      <c r="T70" s="6" t="s">
        <v>676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5" t="str">
        <f t="shared" si="8"/>
        <v/>
      </c>
      <c r="D71" s="138" t="str">
        <f t="shared" si="9"/>
        <v/>
      </c>
      <c r="E71" s="150"/>
      <c r="F71" s="189" t="str">
        <f t="shared" si="10"/>
        <v/>
      </c>
      <c r="G71" s="183"/>
      <c r="H71" s="183"/>
      <c r="I71" s="183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683</v>
      </c>
      <c r="S71" s="6">
        <v>61</v>
      </c>
      <c r="T71" s="6" t="s">
        <v>676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5" t="str">
        <f t="shared" si="8"/>
        <v/>
      </c>
      <c r="D72" s="138" t="str">
        <f t="shared" si="9"/>
        <v/>
      </c>
      <c r="E72" s="150"/>
      <c r="F72" s="189" t="str">
        <f t="shared" si="10"/>
        <v/>
      </c>
      <c r="G72" s="183"/>
      <c r="H72" s="183"/>
      <c r="I72" s="183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684</v>
      </c>
      <c r="S72" s="6">
        <v>43</v>
      </c>
      <c r="T72" s="6" t="s">
        <v>604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5" t="str">
        <f t="shared" si="8"/>
        <v/>
      </c>
      <c r="D73" s="138" t="str">
        <f t="shared" si="9"/>
        <v/>
      </c>
      <c r="E73" s="150"/>
      <c r="F73" s="189" t="str">
        <f t="shared" si="10"/>
        <v/>
      </c>
      <c r="G73" s="183"/>
      <c r="H73" s="183"/>
      <c r="I73" s="183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685</v>
      </c>
      <c r="S73" s="6">
        <v>31</v>
      </c>
      <c r="T73" s="6" t="s">
        <v>600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5" t="str">
        <f t="shared" si="8"/>
        <v/>
      </c>
      <c r="D74" s="138" t="str">
        <f t="shared" si="9"/>
        <v/>
      </c>
      <c r="E74" s="150"/>
      <c r="F74" s="189" t="str">
        <f t="shared" si="10"/>
        <v/>
      </c>
      <c r="G74" s="183"/>
      <c r="H74" s="183"/>
      <c r="I74" s="183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686</v>
      </c>
      <c r="S74" s="6">
        <v>43</v>
      </c>
      <c r="T74" s="6" t="s">
        <v>604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5" t="str">
        <f t="shared" si="8"/>
        <v/>
      </c>
      <c r="D75" s="138" t="str">
        <f t="shared" si="9"/>
        <v/>
      </c>
      <c r="E75" s="150"/>
      <c r="F75" s="189" t="str">
        <f t="shared" si="10"/>
        <v/>
      </c>
      <c r="G75" s="183"/>
      <c r="H75" s="183"/>
      <c r="I75" s="183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687</v>
      </c>
      <c r="S75" s="6">
        <v>71</v>
      </c>
      <c r="T75" s="6" t="s">
        <v>688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5" t="str">
        <f t="shared" si="8"/>
        <v/>
      </c>
      <c r="D76" s="138" t="str">
        <f t="shared" si="9"/>
        <v/>
      </c>
      <c r="E76" s="150"/>
      <c r="F76" s="189" t="str">
        <f t="shared" si="10"/>
        <v/>
      </c>
      <c r="G76" s="183"/>
      <c r="H76" s="183"/>
      <c r="I76" s="183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689</v>
      </c>
      <c r="S76" s="6">
        <v>71</v>
      </c>
      <c r="T76" s="6" t="s">
        <v>688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5" t="str">
        <f t="shared" si="8"/>
        <v/>
      </c>
      <c r="D77" s="138" t="str">
        <f t="shared" si="9"/>
        <v/>
      </c>
      <c r="E77" s="150"/>
      <c r="F77" s="189" t="str">
        <f t="shared" si="10"/>
        <v/>
      </c>
      <c r="G77" s="183"/>
      <c r="H77" s="183"/>
      <c r="I77" s="183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690</v>
      </c>
      <c r="S77" s="6">
        <v>71</v>
      </c>
      <c r="T77" s="6" t="s">
        <v>688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5" t="str">
        <f t="shared" si="8"/>
        <v/>
      </c>
      <c r="D78" s="138" t="str">
        <f t="shared" si="9"/>
        <v/>
      </c>
      <c r="E78" s="150"/>
      <c r="F78" s="189" t="str">
        <f t="shared" si="10"/>
        <v/>
      </c>
      <c r="G78" s="183"/>
      <c r="H78" s="183"/>
      <c r="I78" s="183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691</v>
      </c>
      <c r="S78" s="6">
        <v>71</v>
      </c>
      <c r="T78" s="6" t="s">
        <v>688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5" t="str">
        <f t="shared" si="8"/>
        <v/>
      </c>
      <c r="D79" s="138" t="str">
        <f t="shared" si="9"/>
        <v/>
      </c>
      <c r="E79" s="150"/>
      <c r="F79" s="189" t="str">
        <f t="shared" si="10"/>
        <v/>
      </c>
      <c r="G79" s="183"/>
      <c r="H79" s="183"/>
      <c r="I79" s="183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692</v>
      </c>
      <c r="S79" s="6">
        <v>71</v>
      </c>
      <c r="T79" s="6" t="s">
        <v>688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5" t="str">
        <f t="shared" si="8"/>
        <v/>
      </c>
      <c r="D80" s="138" t="str">
        <f t="shared" si="9"/>
        <v/>
      </c>
      <c r="E80" s="150"/>
      <c r="F80" s="189" t="str">
        <f t="shared" si="10"/>
        <v/>
      </c>
      <c r="G80" s="183"/>
      <c r="H80" s="183"/>
      <c r="I80" s="183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693</v>
      </c>
      <c r="S80" s="6">
        <v>71</v>
      </c>
      <c r="T80" s="6" t="s">
        <v>688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5" t="str">
        <f t="shared" si="8"/>
        <v/>
      </c>
      <c r="D81" s="138" t="str">
        <f t="shared" si="9"/>
        <v/>
      </c>
      <c r="E81" s="150"/>
      <c r="F81" s="189" t="str">
        <f t="shared" si="10"/>
        <v/>
      </c>
      <c r="G81" s="183"/>
      <c r="H81" s="183"/>
      <c r="I81" s="183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694</v>
      </c>
      <c r="S81" s="6">
        <v>71</v>
      </c>
      <c r="T81" s="6" t="s">
        <v>688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5" t="str">
        <f t="shared" si="8"/>
        <v/>
      </c>
      <c r="D82" s="138" t="str">
        <f t="shared" si="9"/>
        <v/>
      </c>
      <c r="E82" s="150"/>
      <c r="F82" s="189" t="str">
        <f t="shared" si="10"/>
        <v/>
      </c>
      <c r="G82" s="183"/>
      <c r="H82" s="183"/>
      <c r="I82" s="183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695</v>
      </c>
      <c r="S82" s="6">
        <v>71</v>
      </c>
      <c r="T82" s="6" t="s">
        <v>688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5" t="str">
        <f t="shared" si="8"/>
        <v/>
      </c>
      <c r="D83" s="138" t="str">
        <f t="shared" si="9"/>
        <v/>
      </c>
      <c r="E83" s="150"/>
      <c r="F83" s="189" t="str">
        <f t="shared" si="10"/>
        <v/>
      </c>
      <c r="G83" s="183"/>
      <c r="H83" s="183"/>
      <c r="I83" s="183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696</v>
      </c>
      <c r="S83" s="6">
        <v>71</v>
      </c>
      <c r="T83" s="6" t="s">
        <v>688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5" t="str">
        <f t="shared" si="8"/>
        <v/>
      </c>
      <c r="D84" s="138" t="str">
        <f t="shared" si="9"/>
        <v/>
      </c>
      <c r="E84" s="150"/>
      <c r="F84" s="189" t="str">
        <f t="shared" si="10"/>
        <v/>
      </c>
      <c r="G84" s="183"/>
      <c r="H84" s="183"/>
      <c r="I84" s="183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697</v>
      </c>
      <c r="S84" s="6">
        <v>71</v>
      </c>
      <c r="T84" s="6" t="s">
        <v>688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5" t="str">
        <f t="shared" si="8"/>
        <v/>
      </c>
      <c r="D85" s="138" t="str">
        <f t="shared" si="9"/>
        <v/>
      </c>
      <c r="E85" s="150"/>
      <c r="F85" s="189" t="str">
        <f t="shared" si="10"/>
        <v/>
      </c>
      <c r="G85" s="183"/>
      <c r="H85" s="183"/>
      <c r="I85" s="183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698</v>
      </c>
      <c r="S85" s="6">
        <v>71</v>
      </c>
      <c r="T85" s="6" t="s">
        <v>688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5" t="str">
        <f t="shared" si="8"/>
        <v/>
      </c>
      <c r="D86" s="138" t="str">
        <f t="shared" si="9"/>
        <v/>
      </c>
      <c r="E86" s="150"/>
      <c r="F86" s="189" t="str">
        <f t="shared" si="10"/>
        <v/>
      </c>
      <c r="G86" s="183"/>
      <c r="H86" s="183"/>
      <c r="I86" s="183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699</v>
      </c>
      <c r="S86" s="6">
        <v>71</v>
      </c>
      <c r="T86" s="6" t="s">
        <v>688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5" t="str">
        <f t="shared" si="8"/>
        <v/>
      </c>
      <c r="D87" s="138" t="str">
        <f t="shared" si="9"/>
        <v/>
      </c>
      <c r="E87" s="150"/>
      <c r="F87" s="189" t="str">
        <f t="shared" si="10"/>
        <v/>
      </c>
      <c r="G87" s="183"/>
      <c r="H87" s="183"/>
      <c r="I87" s="183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700</v>
      </c>
      <c r="S87" s="6">
        <v>71</v>
      </c>
      <c r="T87" s="6" t="s">
        <v>688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5" t="str">
        <f t="shared" si="8"/>
        <v/>
      </c>
      <c r="D88" s="138" t="str">
        <f t="shared" si="9"/>
        <v/>
      </c>
      <c r="E88" s="150"/>
      <c r="F88" s="189" t="str">
        <f t="shared" si="10"/>
        <v/>
      </c>
      <c r="G88" s="183"/>
      <c r="H88" s="183"/>
      <c r="I88" s="183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701</v>
      </c>
      <c r="S88" s="6">
        <v>71</v>
      </c>
      <c r="T88" s="6" t="s">
        <v>688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5" t="str">
        <f t="shared" si="8"/>
        <v/>
      </c>
      <c r="D89" s="138" t="str">
        <f t="shared" si="9"/>
        <v/>
      </c>
      <c r="E89" s="150"/>
      <c r="F89" s="189" t="str">
        <f t="shared" si="10"/>
        <v/>
      </c>
      <c r="G89" s="183"/>
      <c r="H89" s="183"/>
      <c r="I89" s="183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702</v>
      </c>
      <c r="S89" s="6">
        <v>71</v>
      </c>
      <c r="T89" s="6" t="s">
        <v>688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5" t="str">
        <f t="shared" si="8"/>
        <v/>
      </c>
      <c r="D90" s="138" t="str">
        <f t="shared" si="9"/>
        <v/>
      </c>
      <c r="E90" s="150"/>
      <c r="F90" s="189" t="str">
        <f t="shared" si="10"/>
        <v/>
      </c>
      <c r="G90" s="183"/>
      <c r="H90" s="183"/>
      <c r="I90" s="183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703</v>
      </c>
      <c r="S90" s="6">
        <v>71</v>
      </c>
      <c r="T90" s="6" t="s">
        <v>688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5" t="str">
        <f t="shared" si="8"/>
        <v/>
      </c>
      <c r="D91" s="138" t="str">
        <f t="shared" si="9"/>
        <v/>
      </c>
      <c r="E91" s="150"/>
      <c r="F91" s="189" t="str">
        <f t="shared" si="10"/>
        <v/>
      </c>
      <c r="G91" s="183"/>
      <c r="H91" s="183"/>
      <c r="I91" s="183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704</v>
      </c>
      <c r="S91" s="6">
        <v>71</v>
      </c>
      <c r="T91" s="6" t="s">
        <v>688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5" t="str">
        <f t="shared" si="8"/>
        <v/>
      </c>
      <c r="D92" s="138" t="str">
        <f t="shared" si="9"/>
        <v/>
      </c>
      <c r="E92" s="150"/>
      <c r="F92" s="189" t="str">
        <f t="shared" si="10"/>
        <v/>
      </c>
      <c r="G92" s="183"/>
      <c r="H92" s="183"/>
      <c r="I92" s="183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705</v>
      </c>
      <c r="S92" s="6">
        <v>71</v>
      </c>
      <c r="T92" s="6" t="s">
        <v>688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5" t="str">
        <f t="shared" si="8"/>
        <v/>
      </c>
      <c r="D93" s="138" t="str">
        <f t="shared" si="9"/>
        <v/>
      </c>
      <c r="E93" s="150"/>
      <c r="F93" s="189" t="str">
        <f t="shared" si="10"/>
        <v/>
      </c>
      <c r="G93" s="183"/>
      <c r="H93" s="183"/>
      <c r="I93" s="183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706</v>
      </c>
      <c r="S93" s="6">
        <v>71</v>
      </c>
      <c r="T93" s="6" t="s">
        <v>688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5" t="str">
        <f t="shared" si="8"/>
        <v/>
      </c>
      <c r="D94" s="138" t="str">
        <f t="shared" si="9"/>
        <v/>
      </c>
      <c r="E94" s="150"/>
      <c r="F94" s="189" t="str">
        <f t="shared" si="10"/>
        <v/>
      </c>
      <c r="G94" s="183"/>
      <c r="H94" s="183"/>
      <c r="I94" s="183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707</v>
      </c>
      <c r="S94" s="6">
        <v>71</v>
      </c>
      <c r="T94" s="6" t="s">
        <v>688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5" t="str">
        <f t="shared" si="8"/>
        <v/>
      </c>
      <c r="D95" s="138" t="str">
        <f t="shared" si="9"/>
        <v/>
      </c>
      <c r="E95" s="150"/>
      <c r="F95" s="189" t="str">
        <f t="shared" si="10"/>
        <v/>
      </c>
      <c r="G95" s="183"/>
      <c r="H95" s="183"/>
      <c r="I95" s="183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708</v>
      </c>
      <c r="S95" s="6">
        <v>81</v>
      </c>
      <c r="T95" s="6" t="s">
        <v>709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5" t="str">
        <f t="shared" si="8"/>
        <v/>
      </c>
      <c r="D96" s="138" t="str">
        <f t="shared" si="9"/>
        <v/>
      </c>
      <c r="E96" s="150"/>
      <c r="F96" s="189" t="str">
        <f t="shared" si="10"/>
        <v/>
      </c>
      <c r="G96" s="183"/>
      <c r="H96" s="183"/>
      <c r="I96" s="183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710</v>
      </c>
      <c r="S96" s="6">
        <v>43</v>
      </c>
      <c r="T96" s="6" t="s">
        <v>604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5" t="str">
        <f t="shared" si="8"/>
        <v/>
      </c>
      <c r="D97" s="138" t="str">
        <f t="shared" si="9"/>
        <v/>
      </c>
      <c r="E97" s="150"/>
      <c r="F97" s="189" t="str">
        <f t="shared" si="10"/>
        <v/>
      </c>
      <c r="G97" s="183"/>
      <c r="H97" s="183"/>
      <c r="I97" s="183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711</v>
      </c>
      <c r="S97" s="6">
        <v>43</v>
      </c>
      <c r="T97" s="6" t="s">
        <v>604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5" t="str">
        <f t="shared" si="8"/>
        <v/>
      </c>
      <c r="D98" s="138" t="str">
        <f t="shared" si="9"/>
        <v/>
      </c>
      <c r="E98" s="150"/>
      <c r="F98" s="189" t="str">
        <f t="shared" si="10"/>
        <v/>
      </c>
      <c r="G98" s="183"/>
      <c r="H98" s="183"/>
      <c r="I98" s="183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712</v>
      </c>
      <c r="S98" s="6">
        <v>43</v>
      </c>
      <c r="T98" s="6" t="s">
        <v>604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5" t="str">
        <f t="shared" si="8"/>
        <v/>
      </c>
      <c r="D99" s="138" t="str">
        <f t="shared" si="9"/>
        <v/>
      </c>
      <c r="E99" s="150"/>
      <c r="F99" s="189" t="str">
        <f t="shared" si="10"/>
        <v/>
      </c>
      <c r="G99" s="183"/>
      <c r="H99" s="183"/>
      <c r="I99" s="183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713</v>
      </c>
      <c r="S99" s="6">
        <v>83</v>
      </c>
      <c r="T99" s="6" t="s">
        <v>632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5" t="str">
        <f t="shared" si="8"/>
        <v/>
      </c>
      <c r="D100" s="138" t="str">
        <f t="shared" si="9"/>
        <v/>
      </c>
      <c r="E100" s="150"/>
      <c r="F100" s="189" t="str">
        <f t="shared" si="10"/>
        <v/>
      </c>
      <c r="G100" s="183"/>
      <c r="H100" s="183"/>
      <c r="I100" s="183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714</v>
      </c>
      <c r="S100" s="6">
        <v>83</v>
      </c>
      <c r="T100" s="6" t="s">
        <v>632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5" t="str">
        <f t="shared" si="8"/>
        <v/>
      </c>
      <c r="D101" s="138" t="str">
        <f t="shared" si="9"/>
        <v/>
      </c>
      <c r="E101" s="150"/>
      <c r="F101" s="189" t="str">
        <f t="shared" si="10"/>
        <v/>
      </c>
      <c r="G101" s="183"/>
      <c r="H101" s="183"/>
      <c r="I101" s="183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715</v>
      </c>
      <c r="S101" s="6">
        <v>81</v>
      </c>
      <c r="T101" s="6" t="s">
        <v>709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5" t="str">
        <f t="shared" si="8"/>
        <v/>
      </c>
      <c r="D102" s="138" t="str">
        <f t="shared" si="9"/>
        <v/>
      </c>
      <c r="E102" s="150"/>
      <c r="F102" s="189" t="str">
        <f t="shared" si="10"/>
        <v/>
      </c>
      <c r="G102" s="183"/>
      <c r="H102" s="183"/>
      <c r="I102" s="183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615</v>
      </c>
      <c r="S102" s="6">
        <v>561</v>
      </c>
      <c r="T102" s="6" t="s">
        <v>615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5" t="str">
        <f t="shared" si="8"/>
        <v/>
      </c>
      <c r="D103" s="138" t="str">
        <f t="shared" si="9"/>
        <v/>
      </c>
      <c r="E103" s="150"/>
      <c r="F103" s="189" t="str">
        <f t="shared" si="10"/>
        <v/>
      </c>
      <c r="G103" s="183"/>
      <c r="H103" s="183"/>
      <c r="I103" s="183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716</v>
      </c>
      <c r="S103" s="6">
        <v>563</v>
      </c>
      <c r="T103" s="6" t="s">
        <v>617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5" t="str">
        <f t="shared" si="8"/>
        <v/>
      </c>
      <c r="D104" s="138" t="str">
        <f t="shared" si="9"/>
        <v/>
      </c>
      <c r="E104" s="150"/>
      <c r="F104" s="189" t="str">
        <f t="shared" si="10"/>
        <v/>
      </c>
      <c r="G104" s="183"/>
      <c r="H104" s="183"/>
      <c r="I104" s="183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615</v>
      </c>
      <c r="S104" s="6">
        <v>561</v>
      </c>
      <c r="T104" s="6" t="s">
        <v>615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5" t="str">
        <f t="shared" si="8"/>
        <v/>
      </c>
      <c r="D105" s="138" t="str">
        <f t="shared" si="9"/>
        <v/>
      </c>
      <c r="E105" s="150"/>
      <c r="F105" s="189" t="str">
        <f t="shared" si="10"/>
        <v/>
      </c>
      <c r="G105" s="183"/>
      <c r="H105" s="183"/>
      <c r="I105" s="183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716</v>
      </c>
      <c r="S105" s="6">
        <v>563</v>
      </c>
      <c r="T105" s="6" t="s">
        <v>617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5" t="str">
        <f t="shared" si="8"/>
        <v/>
      </c>
      <c r="D106" s="138" t="str">
        <f t="shared" si="9"/>
        <v/>
      </c>
      <c r="E106" s="150"/>
      <c r="F106" s="189" t="str">
        <f t="shared" si="10"/>
        <v/>
      </c>
      <c r="G106" s="183"/>
      <c r="H106" s="183"/>
      <c r="I106" s="183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5" t="str">
        <f t="shared" si="8"/>
        <v/>
      </c>
      <c r="D107" s="138" t="str">
        <f t="shared" si="9"/>
        <v/>
      </c>
      <c r="E107" s="150"/>
      <c r="F107" s="189" t="str">
        <f t="shared" si="10"/>
        <v/>
      </c>
      <c r="G107" s="183"/>
      <c r="H107" s="183"/>
      <c r="I107" s="183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5" t="str">
        <f t="shared" si="8"/>
        <v/>
      </c>
      <c r="D108" s="138" t="str">
        <f t="shared" si="9"/>
        <v/>
      </c>
      <c r="E108" s="150"/>
      <c r="F108" s="189" t="str">
        <f t="shared" si="10"/>
        <v/>
      </c>
      <c r="G108" s="183"/>
      <c r="H108" s="183"/>
      <c r="I108" s="183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5" t="str">
        <f t="shared" si="8"/>
        <v/>
      </c>
      <c r="D109" s="138" t="str">
        <f t="shared" si="9"/>
        <v/>
      </c>
      <c r="E109" s="150"/>
      <c r="F109" s="189" t="str">
        <f t="shared" si="10"/>
        <v/>
      </c>
      <c r="G109" s="183"/>
      <c r="H109" s="183"/>
      <c r="I109" s="183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5" t="str">
        <f t="shared" si="8"/>
        <v/>
      </c>
      <c r="D110" s="138" t="str">
        <f t="shared" si="9"/>
        <v/>
      </c>
      <c r="E110" s="150"/>
      <c r="F110" s="189" t="str">
        <f t="shared" si="10"/>
        <v/>
      </c>
      <c r="G110" s="183"/>
      <c r="H110" s="183"/>
      <c r="I110" s="183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5" t="str">
        <f t="shared" si="8"/>
        <v/>
      </c>
      <c r="D111" s="138" t="str">
        <f t="shared" si="9"/>
        <v/>
      </c>
      <c r="E111" s="150"/>
      <c r="F111" s="189" t="str">
        <f t="shared" si="10"/>
        <v/>
      </c>
      <c r="G111" s="183"/>
      <c r="H111" s="183"/>
      <c r="I111" s="183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5" t="str">
        <f t="shared" si="8"/>
        <v/>
      </c>
      <c r="D112" s="138" t="str">
        <f t="shared" si="9"/>
        <v/>
      </c>
      <c r="E112" s="150"/>
      <c r="F112" s="189" t="str">
        <f t="shared" si="10"/>
        <v/>
      </c>
      <c r="G112" s="183"/>
      <c r="H112" s="183"/>
      <c r="I112" s="183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5" t="str">
        <f t="shared" si="8"/>
        <v/>
      </c>
      <c r="D113" s="138" t="str">
        <f t="shared" si="9"/>
        <v/>
      </c>
      <c r="E113" s="150"/>
      <c r="F113" s="189" t="str">
        <f t="shared" si="10"/>
        <v/>
      </c>
      <c r="G113" s="183"/>
      <c r="H113" s="183"/>
      <c r="I113" s="183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5" t="str">
        <f t="shared" si="8"/>
        <v/>
      </c>
      <c r="D114" s="138" t="str">
        <f t="shared" si="9"/>
        <v/>
      </c>
      <c r="E114" s="150"/>
      <c r="F114" s="189" t="str">
        <f t="shared" si="10"/>
        <v/>
      </c>
      <c r="G114" s="183"/>
      <c r="H114" s="183"/>
      <c r="I114" s="183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5" t="str">
        <f t="shared" si="8"/>
        <v/>
      </c>
      <c r="D115" s="138" t="str">
        <f t="shared" si="9"/>
        <v/>
      </c>
      <c r="E115" s="150"/>
      <c r="F115" s="189" t="str">
        <f t="shared" si="10"/>
        <v/>
      </c>
      <c r="G115" s="183"/>
      <c r="H115" s="183"/>
      <c r="I115" s="183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5" t="str">
        <f t="shared" si="8"/>
        <v/>
      </c>
      <c r="D116" s="138" t="str">
        <f t="shared" si="9"/>
        <v/>
      </c>
      <c r="E116" s="150"/>
      <c r="F116" s="189" t="str">
        <f t="shared" si="10"/>
        <v/>
      </c>
      <c r="G116" s="183"/>
      <c r="H116" s="183"/>
      <c r="I116" s="183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5" t="str">
        <f t="shared" si="8"/>
        <v/>
      </c>
      <c r="D117" s="138" t="str">
        <f t="shared" si="9"/>
        <v/>
      </c>
      <c r="E117" s="150"/>
      <c r="F117" s="189" t="str">
        <f t="shared" si="10"/>
        <v/>
      </c>
      <c r="G117" s="183"/>
      <c r="H117" s="183"/>
      <c r="I117" s="183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5" t="str">
        <f t="shared" si="8"/>
        <v/>
      </c>
      <c r="D118" s="138" t="str">
        <f t="shared" si="9"/>
        <v/>
      </c>
      <c r="E118" s="150"/>
      <c r="F118" s="189" t="str">
        <f t="shared" si="10"/>
        <v/>
      </c>
      <c r="G118" s="183"/>
      <c r="H118" s="183"/>
      <c r="I118" s="183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5" t="str">
        <f t="shared" si="8"/>
        <v/>
      </c>
      <c r="D119" s="138" t="str">
        <f t="shared" si="9"/>
        <v/>
      </c>
      <c r="E119" s="150"/>
      <c r="F119" s="189" t="str">
        <f t="shared" si="10"/>
        <v/>
      </c>
      <c r="G119" s="183"/>
      <c r="H119" s="183"/>
      <c r="I119" s="183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5" t="str">
        <f t="shared" si="8"/>
        <v/>
      </c>
      <c r="D120" s="138" t="str">
        <f t="shared" si="9"/>
        <v/>
      </c>
      <c r="E120" s="150"/>
      <c r="F120" s="189" t="str">
        <f t="shared" si="10"/>
        <v/>
      </c>
      <c r="G120" s="183"/>
      <c r="H120" s="183"/>
      <c r="I120" s="183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5" t="str">
        <f t="shared" si="8"/>
        <v/>
      </c>
      <c r="D121" s="138" t="str">
        <f t="shared" si="9"/>
        <v/>
      </c>
      <c r="E121" s="150"/>
      <c r="F121" s="189" t="str">
        <f t="shared" si="10"/>
        <v/>
      </c>
      <c r="G121" s="183"/>
      <c r="H121" s="183"/>
      <c r="I121" s="183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5" t="str">
        <f t="shared" si="8"/>
        <v/>
      </c>
      <c r="D122" s="138" t="str">
        <f t="shared" si="9"/>
        <v/>
      </c>
      <c r="E122" s="150"/>
      <c r="F122" s="189" t="str">
        <f t="shared" si="10"/>
        <v/>
      </c>
      <c r="G122" s="183"/>
      <c r="H122" s="183"/>
      <c r="I122" s="183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5" t="str">
        <f t="shared" si="8"/>
        <v/>
      </c>
      <c r="D123" s="138" t="str">
        <f t="shared" si="9"/>
        <v/>
      </c>
      <c r="E123" s="150"/>
      <c r="F123" s="189" t="str">
        <f t="shared" si="10"/>
        <v/>
      </c>
      <c r="G123" s="183"/>
      <c r="H123" s="183"/>
      <c r="I123" s="183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5" t="str">
        <f t="shared" si="8"/>
        <v/>
      </c>
      <c r="D124" s="138" t="str">
        <f t="shared" si="9"/>
        <v/>
      </c>
      <c r="E124" s="150"/>
      <c r="F124" s="189" t="str">
        <f t="shared" si="10"/>
        <v/>
      </c>
      <c r="G124" s="183"/>
      <c r="H124" s="183"/>
      <c r="I124" s="183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5" t="str">
        <f t="shared" si="8"/>
        <v/>
      </c>
      <c r="D125" s="138" t="str">
        <f t="shared" si="9"/>
        <v/>
      </c>
      <c r="E125" s="150"/>
      <c r="F125" s="189" t="str">
        <f t="shared" si="10"/>
        <v/>
      </c>
      <c r="G125" s="183"/>
      <c r="H125" s="183"/>
      <c r="I125" s="183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5" t="str">
        <f t="shared" si="8"/>
        <v/>
      </c>
      <c r="D126" s="138" t="str">
        <f t="shared" si="9"/>
        <v/>
      </c>
      <c r="E126" s="150"/>
      <c r="F126" s="189" t="str">
        <f t="shared" si="10"/>
        <v/>
      </c>
      <c r="G126" s="183"/>
      <c r="H126" s="183"/>
      <c r="I126" s="183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5" t="str">
        <f t="shared" si="8"/>
        <v/>
      </c>
      <c r="D127" s="138" t="str">
        <f t="shared" si="9"/>
        <v/>
      </c>
      <c r="E127" s="150"/>
      <c r="F127" s="189" t="str">
        <f t="shared" si="10"/>
        <v/>
      </c>
      <c r="G127" s="183"/>
      <c r="H127" s="183"/>
      <c r="I127" s="183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5" t="str">
        <f t="shared" si="8"/>
        <v/>
      </c>
      <c r="D128" s="138" t="str">
        <f t="shared" si="9"/>
        <v/>
      </c>
      <c r="E128" s="150"/>
      <c r="F128" s="189" t="str">
        <f t="shared" si="10"/>
        <v/>
      </c>
      <c r="G128" s="183"/>
      <c r="H128" s="183"/>
      <c r="I128" s="183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5" t="str">
        <f t="shared" si="8"/>
        <v/>
      </c>
      <c r="D129" s="138" t="str">
        <f t="shared" si="9"/>
        <v/>
      </c>
      <c r="E129" s="150"/>
      <c r="F129" s="189" t="str">
        <f t="shared" si="10"/>
        <v/>
      </c>
      <c r="G129" s="183"/>
      <c r="H129" s="183"/>
      <c r="I129" s="183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5" t="str">
        <f t="shared" si="8"/>
        <v/>
      </c>
      <c r="D130" s="138" t="str">
        <f t="shared" si="9"/>
        <v/>
      </c>
      <c r="E130" s="150"/>
      <c r="F130" s="189" t="str">
        <f t="shared" si="10"/>
        <v/>
      </c>
      <c r="G130" s="183"/>
      <c r="H130" s="183"/>
      <c r="I130" s="183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5" t="str">
        <f t="shared" si="8"/>
        <v/>
      </c>
      <c r="D131" s="138" t="str">
        <f t="shared" si="9"/>
        <v/>
      </c>
      <c r="E131" s="150"/>
      <c r="F131" s="189" t="str">
        <f t="shared" si="10"/>
        <v/>
      </c>
      <c r="G131" s="183"/>
      <c r="H131" s="183"/>
      <c r="I131" s="183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5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89" t="str">
        <f t="shared" ref="F132:F195" si="15">IFERROR(VLOOKUP(E132,$Q$6:$T$200,2,FALSE),"")</f>
        <v/>
      </c>
      <c r="G132" s="183"/>
      <c r="H132" s="183"/>
      <c r="I132" s="183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5" t="str">
        <f t="shared" si="13"/>
        <v/>
      </c>
      <c r="D133" s="138" t="str">
        <f t="shared" si="14"/>
        <v/>
      </c>
      <c r="E133" s="150"/>
      <c r="F133" s="189" t="str">
        <f t="shared" si="15"/>
        <v/>
      </c>
      <c r="G133" s="183"/>
      <c r="H133" s="183"/>
      <c r="I133" s="183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5" t="str">
        <f t="shared" si="13"/>
        <v/>
      </c>
      <c r="D134" s="138" t="str">
        <f t="shared" si="14"/>
        <v/>
      </c>
      <c r="E134" s="150"/>
      <c r="F134" s="189" t="str">
        <f t="shared" si="15"/>
        <v/>
      </c>
      <c r="G134" s="183"/>
      <c r="H134" s="183"/>
      <c r="I134" s="183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5" t="str">
        <f t="shared" si="13"/>
        <v/>
      </c>
      <c r="D135" s="138" t="str">
        <f t="shared" si="14"/>
        <v/>
      </c>
      <c r="E135" s="150"/>
      <c r="F135" s="189" t="str">
        <f t="shared" si="15"/>
        <v/>
      </c>
      <c r="G135" s="183"/>
      <c r="H135" s="183"/>
      <c r="I135" s="183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5" t="str">
        <f t="shared" si="13"/>
        <v/>
      </c>
      <c r="D136" s="138" t="str">
        <f t="shared" si="14"/>
        <v/>
      </c>
      <c r="E136" s="150"/>
      <c r="F136" s="189" t="str">
        <f t="shared" si="15"/>
        <v/>
      </c>
      <c r="G136" s="183"/>
      <c r="H136" s="183"/>
      <c r="I136" s="183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5" t="str">
        <f t="shared" si="13"/>
        <v/>
      </c>
      <c r="D137" s="138" t="str">
        <f t="shared" si="14"/>
        <v/>
      </c>
      <c r="E137" s="150"/>
      <c r="F137" s="189" t="str">
        <f t="shared" si="15"/>
        <v/>
      </c>
      <c r="G137" s="183"/>
      <c r="H137" s="183"/>
      <c r="I137" s="183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5" t="str">
        <f t="shared" si="13"/>
        <v/>
      </c>
      <c r="D138" s="138" t="str">
        <f t="shared" si="14"/>
        <v/>
      </c>
      <c r="E138" s="150"/>
      <c r="F138" s="189" t="str">
        <f t="shared" si="15"/>
        <v/>
      </c>
      <c r="G138" s="183"/>
      <c r="H138" s="183"/>
      <c r="I138" s="183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5" t="str">
        <f t="shared" si="13"/>
        <v/>
      </c>
      <c r="D139" s="138" t="str">
        <f t="shared" si="14"/>
        <v/>
      </c>
      <c r="E139" s="150"/>
      <c r="F139" s="189" t="str">
        <f t="shared" si="15"/>
        <v/>
      </c>
      <c r="G139" s="183"/>
      <c r="H139" s="183"/>
      <c r="I139" s="183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5" t="str">
        <f t="shared" si="13"/>
        <v/>
      </c>
      <c r="D140" s="138" t="str">
        <f t="shared" si="14"/>
        <v/>
      </c>
      <c r="E140" s="150"/>
      <c r="F140" s="189" t="str">
        <f t="shared" si="15"/>
        <v/>
      </c>
      <c r="G140" s="183"/>
      <c r="H140" s="183"/>
      <c r="I140" s="183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5" t="str">
        <f t="shared" si="13"/>
        <v/>
      </c>
      <c r="D141" s="138" t="str">
        <f t="shared" si="14"/>
        <v/>
      </c>
      <c r="E141" s="150"/>
      <c r="F141" s="189" t="str">
        <f t="shared" si="15"/>
        <v/>
      </c>
      <c r="G141" s="183"/>
      <c r="H141" s="183"/>
      <c r="I141" s="183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5" t="str">
        <f t="shared" si="13"/>
        <v/>
      </c>
      <c r="D142" s="138" t="str">
        <f t="shared" si="14"/>
        <v/>
      </c>
      <c r="E142" s="150"/>
      <c r="F142" s="189" t="str">
        <f t="shared" si="15"/>
        <v/>
      </c>
      <c r="G142" s="183"/>
      <c r="H142" s="183"/>
      <c r="I142" s="183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5" t="str">
        <f t="shared" si="13"/>
        <v/>
      </c>
      <c r="D143" s="138" t="str">
        <f t="shared" si="14"/>
        <v/>
      </c>
      <c r="E143" s="150"/>
      <c r="F143" s="189" t="str">
        <f t="shared" si="15"/>
        <v/>
      </c>
      <c r="G143" s="183"/>
      <c r="H143" s="183"/>
      <c r="I143" s="183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5" t="str">
        <f t="shared" si="13"/>
        <v/>
      </c>
      <c r="D144" s="138" t="str">
        <f t="shared" si="14"/>
        <v/>
      </c>
      <c r="E144" s="150"/>
      <c r="F144" s="189" t="str">
        <f t="shared" si="15"/>
        <v/>
      </c>
      <c r="G144" s="183"/>
      <c r="H144" s="183"/>
      <c r="I144" s="183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5" t="str">
        <f t="shared" si="13"/>
        <v/>
      </c>
      <c r="D145" s="138" t="str">
        <f t="shared" si="14"/>
        <v/>
      </c>
      <c r="E145" s="150"/>
      <c r="F145" s="189" t="str">
        <f t="shared" si="15"/>
        <v/>
      </c>
      <c r="G145" s="183"/>
      <c r="H145" s="183"/>
      <c r="I145" s="183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5" t="str">
        <f t="shared" si="13"/>
        <v/>
      </c>
      <c r="D146" s="138" t="str">
        <f t="shared" si="14"/>
        <v/>
      </c>
      <c r="E146" s="150"/>
      <c r="F146" s="189" t="str">
        <f t="shared" si="15"/>
        <v/>
      </c>
      <c r="G146" s="183"/>
      <c r="H146" s="183"/>
      <c r="I146" s="183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5" t="str">
        <f t="shared" si="13"/>
        <v/>
      </c>
      <c r="D147" s="138" t="str">
        <f t="shared" si="14"/>
        <v/>
      </c>
      <c r="E147" s="150"/>
      <c r="F147" s="189" t="str">
        <f t="shared" si="15"/>
        <v/>
      </c>
      <c r="G147" s="183"/>
      <c r="H147" s="183"/>
      <c r="I147" s="183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5" t="str">
        <f t="shared" si="13"/>
        <v/>
      </c>
      <c r="D148" s="138" t="str">
        <f t="shared" si="14"/>
        <v/>
      </c>
      <c r="E148" s="150"/>
      <c r="F148" s="189" t="str">
        <f t="shared" si="15"/>
        <v/>
      </c>
      <c r="G148" s="183"/>
      <c r="H148" s="183"/>
      <c r="I148" s="183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5" t="str">
        <f t="shared" si="13"/>
        <v/>
      </c>
      <c r="D149" s="138" t="str">
        <f t="shared" si="14"/>
        <v/>
      </c>
      <c r="E149" s="150"/>
      <c r="F149" s="189" t="str">
        <f t="shared" si="15"/>
        <v/>
      </c>
      <c r="G149" s="183"/>
      <c r="H149" s="183"/>
      <c r="I149" s="183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5" t="str">
        <f t="shared" si="13"/>
        <v/>
      </c>
      <c r="D150" s="138" t="str">
        <f t="shared" si="14"/>
        <v/>
      </c>
      <c r="E150" s="150"/>
      <c r="F150" s="189" t="str">
        <f t="shared" si="15"/>
        <v/>
      </c>
      <c r="G150" s="183"/>
      <c r="H150" s="183"/>
      <c r="I150" s="183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5" t="str">
        <f t="shared" si="13"/>
        <v/>
      </c>
      <c r="D151" s="138" t="str">
        <f t="shared" si="14"/>
        <v/>
      </c>
      <c r="E151" s="150"/>
      <c r="F151" s="189" t="str">
        <f t="shared" si="15"/>
        <v/>
      </c>
      <c r="G151" s="183"/>
      <c r="H151" s="183"/>
      <c r="I151" s="183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5" t="str">
        <f t="shared" si="13"/>
        <v/>
      </c>
      <c r="D152" s="138" t="str">
        <f t="shared" si="14"/>
        <v/>
      </c>
      <c r="E152" s="150"/>
      <c r="F152" s="189" t="str">
        <f t="shared" si="15"/>
        <v/>
      </c>
      <c r="G152" s="183"/>
      <c r="H152" s="183"/>
      <c r="I152" s="183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5" t="str">
        <f t="shared" si="13"/>
        <v/>
      </c>
      <c r="D153" s="138" t="str">
        <f t="shared" si="14"/>
        <v/>
      </c>
      <c r="E153" s="150"/>
      <c r="F153" s="189" t="str">
        <f t="shared" si="15"/>
        <v/>
      </c>
      <c r="G153" s="183"/>
      <c r="H153" s="183"/>
      <c r="I153" s="183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5" t="str">
        <f t="shared" si="13"/>
        <v/>
      </c>
      <c r="D154" s="138" t="str">
        <f t="shared" si="14"/>
        <v/>
      </c>
      <c r="E154" s="150"/>
      <c r="F154" s="189" t="str">
        <f t="shared" si="15"/>
        <v/>
      </c>
      <c r="G154" s="183"/>
      <c r="H154" s="183"/>
      <c r="I154" s="183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5" t="str">
        <f t="shared" si="13"/>
        <v/>
      </c>
      <c r="D155" s="138" t="str">
        <f t="shared" si="14"/>
        <v/>
      </c>
      <c r="E155" s="150"/>
      <c r="F155" s="189" t="str">
        <f t="shared" si="15"/>
        <v/>
      </c>
      <c r="G155" s="183"/>
      <c r="H155" s="183"/>
      <c r="I155" s="183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5" t="str">
        <f t="shared" si="13"/>
        <v/>
      </c>
      <c r="D156" s="138" t="str">
        <f t="shared" si="14"/>
        <v/>
      </c>
      <c r="E156" s="150"/>
      <c r="F156" s="189" t="str">
        <f t="shared" si="15"/>
        <v/>
      </c>
      <c r="G156" s="183"/>
      <c r="H156" s="183"/>
      <c r="I156" s="183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5" t="str">
        <f t="shared" si="13"/>
        <v/>
      </c>
      <c r="D157" s="138" t="str">
        <f t="shared" si="14"/>
        <v/>
      </c>
      <c r="E157" s="150"/>
      <c r="F157" s="189" t="str">
        <f t="shared" si="15"/>
        <v/>
      </c>
      <c r="G157" s="183"/>
      <c r="H157" s="183"/>
      <c r="I157" s="183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5" t="str">
        <f t="shared" si="13"/>
        <v/>
      </c>
      <c r="D158" s="138" t="str">
        <f t="shared" si="14"/>
        <v/>
      </c>
      <c r="E158" s="150"/>
      <c r="F158" s="189" t="str">
        <f t="shared" si="15"/>
        <v/>
      </c>
      <c r="G158" s="183"/>
      <c r="H158" s="183"/>
      <c r="I158" s="183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5" t="str">
        <f t="shared" si="13"/>
        <v/>
      </c>
      <c r="D159" s="138" t="str">
        <f t="shared" si="14"/>
        <v/>
      </c>
      <c r="E159" s="150"/>
      <c r="F159" s="189" t="str">
        <f t="shared" si="15"/>
        <v/>
      </c>
      <c r="G159" s="183"/>
      <c r="H159" s="183"/>
      <c r="I159" s="183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5" t="str">
        <f t="shared" si="13"/>
        <v/>
      </c>
      <c r="D160" s="138" t="str">
        <f t="shared" si="14"/>
        <v/>
      </c>
      <c r="E160" s="150"/>
      <c r="F160" s="189" t="str">
        <f t="shared" si="15"/>
        <v/>
      </c>
      <c r="G160" s="183"/>
      <c r="H160" s="183"/>
      <c r="I160" s="183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5" t="str">
        <f t="shared" si="13"/>
        <v/>
      </c>
      <c r="D161" s="138" t="str">
        <f t="shared" si="14"/>
        <v/>
      </c>
      <c r="E161" s="150"/>
      <c r="F161" s="189" t="str">
        <f t="shared" si="15"/>
        <v/>
      </c>
      <c r="G161" s="183"/>
      <c r="H161" s="183"/>
      <c r="I161" s="183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5" t="str">
        <f t="shared" si="13"/>
        <v/>
      </c>
      <c r="D162" s="138" t="str">
        <f t="shared" si="14"/>
        <v/>
      </c>
      <c r="E162" s="150"/>
      <c r="F162" s="189" t="str">
        <f t="shared" si="15"/>
        <v/>
      </c>
      <c r="G162" s="183"/>
      <c r="H162" s="183"/>
      <c r="I162" s="183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5" t="str">
        <f t="shared" si="13"/>
        <v/>
      </c>
      <c r="D163" s="138" t="str">
        <f t="shared" si="14"/>
        <v/>
      </c>
      <c r="E163" s="150"/>
      <c r="F163" s="189" t="str">
        <f t="shared" si="15"/>
        <v/>
      </c>
      <c r="G163" s="183"/>
      <c r="H163" s="183"/>
      <c r="I163" s="183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5" t="str">
        <f t="shared" si="13"/>
        <v/>
      </c>
      <c r="D164" s="138" t="str">
        <f t="shared" si="14"/>
        <v/>
      </c>
      <c r="E164" s="150"/>
      <c r="F164" s="189" t="str">
        <f t="shared" si="15"/>
        <v/>
      </c>
      <c r="G164" s="183"/>
      <c r="H164" s="183"/>
      <c r="I164" s="183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5" t="str">
        <f t="shared" si="13"/>
        <v/>
      </c>
      <c r="D165" s="138" t="str">
        <f t="shared" si="14"/>
        <v/>
      </c>
      <c r="E165" s="150"/>
      <c r="F165" s="189" t="str">
        <f t="shared" si="15"/>
        <v/>
      </c>
      <c r="G165" s="183"/>
      <c r="H165" s="183"/>
      <c r="I165" s="183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5" t="str">
        <f t="shared" si="13"/>
        <v/>
      </c>
      <c r="D166" s="138" t="str">
        <f t="shared" si="14"/>
        <v/>
      </c>
      <c r="E166" s="150"/>
      <c r="F166" s="189" t="str">
        <f t="shared" si="15"/>
        <v/>
      </c>
      <c r="G166" s="183"/>
      <c r="H166" s="183"/>
      <c r="I166" s="183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5" t="str">
        <f t="shared" si="13"/>
        <v/>
      </c>
      <c r="D167" s="138" t="str">
        <f t="shared" si="14"/>
        <v/>
      </c>
      <c r="E167" s="150"/>
      <c r="F167" s="189" t="str">
        <f t="shared" si="15"/>
        <v/>
      </c>
      <c r="G167" s="183"/>
      <c r="H167" s="183"/>
      <c r="I167" s="183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5" t="str">
        <f t="shared" si="13"/>
        <v/>
      </c>
      <c r="D168" s="138" t="str">
        <f t="shared" si="14"/>
        <v/>
      </c>
      <c r="E168" s="150"/>
      <c r="F168" s="189" t="str">
        <f t="shared" si="15"/>
        <v/>
      </c>
      <c r="G168" s="183"/>
      <c r="H168" s="183"/>
      <c r="I168" s="183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5" t="str">
        <f t="shared" si="13"/>
        <v/>
      </c>
      <c r="D169" s="138" t="str">
        <f t="shared" si="14"/>
        <v/>
      </c>
      <c r="E169" s="150"/>
      <c r="F169" s="189" t="str">
        <f t="shared" si="15"/>
        <v/>
      </c>
      <c r="G169" s="183"/>
      <c r="H169" s="183"/>
      <c r="I169" s="183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5" t="str">
        <f t="shared" si="13"/>
        <v/>
      </c>
      <c r="D170" s="138" t="str">
        <f t="shared" si="14"/>
        <v/>
      </c>
      <c r="E170" s="150"/>
      <c r="F170" s="189" t="str">
        <f t="shared" si="15"/>
        <v/>
      </c>
      <c r="G170" s="183"/>
      <c r="H170" s="183"/>
      <c r="I170" s="183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5" t="str">
        <f t="shared" si="13"/>
        <v/>
      </c>
      <c r="D171" s="138" t="str">
        <f t="shared" si="14"/>
        <v/>
      </c>
      <c r="E171" s="150"/>
      <c r="F171" s="189" t="str">
        <f t="shared" si="15"/>
        <v/>
      </c>
      <c r="G171" s="183"/>
      <c r="H171" s="183"/>
      <c r="I171" s="183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5" t="str">
        <f t="shared" si="13"/>
        <v/>
      </c>
      <c r="D172" s="138" t="str">
        <f t="shared" si="14"/>
        <v/>
      </c>
      <c r="E172" s="150"/>
      <c r="F172" s="189" t="str">
        <f t="shared" si="15"/>
        <v/>
      </c>
      <c r="G172" s="183"/>
      <c r="H172" s="183"/>
      <c r="I172" s="183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5" t="str">
        <f t="shared" si="13"/>
        <v/>
      </c>
      <c r="D173" s="138" t="str">
        <f t="shared" si="14"/>
        <v/>
      </c>
      <c r="E173" s="150"/>
      <c r="F173" s="189" t="str">
        <f t="shared" si="15"/>
        <v/>
      </c>
      <c r="G173" s="183"/>
      <c r="H173" s="183"/>
      <c r="I173" s="183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5" t="str">
        <f t="shared" si="13"/>
        <v/>
      </c>
      <c r="D174" s="138" t="str">
        <f t="shared" si="14"/>
        <v/>
      </c>
      <c r="E174" s="150"/>
      <c r="F174" s="189" t="str">
        <f t="shared" si="15"/>
        <v/>
      </c>
      <c r="G174" s="183"/>
      <c r="H174" s="183"/>
      <c r="I174" s="183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5" t="str">
        <f t="shared" si="13"/>
        <v/>
      </c>
      <c r="D175" s="138" t="str">
        <f t="shared" si="14"/>
        <v/>
      </c>
      <c r="E175" s="150"/>
      <c r="F175" s="189" t="str">
        <f t="shared" si="15"/>
        <v/>
      </c>
      <c r="G175" s="183"/>
      <c r="H175" s="183"/>
      <c r="I175" s="183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5" t="str">
        <f t="shared" si="13"/>
        <v/>
      </c>
      <c r="D176" s="138" t="str">
        <f t="shared" si="14"/>
        <v/>
      </c>
      <c r="E176" s="150"/>
      <c r="F176" s="189" t="str">
        <f t="shared" si="15"/>
        <v/>
      </c>
      <c r="G176" s="183"/>
      <c r="H176" s="183"/>
      <c r="I176" s="183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5" t="str">
        <f t="shared" si="13"/>
        <v/>
      </c>
      <c r="D177" s="138" t="str">
        <f t="shared" si="14"/>
        <v/>
      </c>
      <c r="E177" s="150"/>
      <c r="F177" s="189" t="str">
        <f t="shared" si="15"/>
        <v/>
      </c>
      <c r="G177" s="183"/>
      <c r="H177" s="183"/>
      <c r="I177" s="183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5" t="str">
        <f t="shared" si="13"/>
        <v/>
      </c>
      <c r="D178" s="138" t="str">
        <f t="shared" si="14"/>
        <v/>
      </c>
      <c r="E178" s="150"/>
      <c r="F178" s="189" t="str">
        <f t="shared" si="15"/>
        <v/>
      </c>
      <c r="G178" s="183"/>
      <c r="H178" s="183"/>
      <c r="I178" s="183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5" t="str">
        <f t="shared" si="13"/>
        <v/>
      </c>
      <c r="D179" s="138" t="str">
        <f t="shared" si="14"/>
        <v/>
      </c>
      <c r="E179" s="150"/>
      <c r="F179" s="189" t="str">
        <f t="shared" si="15"/>
        <v/>
      </c>
      <c r="G179" s="183"/>
      <c r="H179" s="183"/>
      <c r="I179" s="183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5" t="str">
        <f t="shared" si="13"/>
        <v/>
      </c>
      <c r="D180" s="138" t="str">
        <f t="shared" si="14"/>
        <v/>
      </c>
      <c r="E180" s="150"/>
      <c r="F180" s="189" t="str">
        <f t="shared" si="15"/>
        <v/>
      </c>
      <c r="G180" s="183"/>
      <c r="H180" s="183"/>
      <c r="I180" s="183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5" t="str">
        <f t="shared" si="13"/>
        <v/>
      </c>
      <c r="D181" s="138" t="str">
        <f t="shared" si="14"/>
        <v/>
      </c>
      <c r="E181" s="150"/>
      <c r="F181" s="189" t="str">
        <f t="shared" si="15"/>
        <v/>
      </c>
      <c r="G181" s="183"/>
      <c r="H181" s="183"/>
      <c r="I181" s="183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5" t="str">
        <f t="shared" si="13"/>
        <v/>
      </c>
      <c r="D182" s="138" t="str">
        <f t="shared" si="14"/>
        <v/>
      </c>
      <c r="E182" s="150"/>
      <c r="F182" s="189" t="str">
        <f t="shared" si="15"/>
        <v/>
      </c>
      <c r="G182" s="183"/>
      <c r="H182" s="183"/>
      <c r="I182" s="183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5" t="str">
        <f t="shared" si="13"/>
        <v/>
      </c>
      <c r="D183" s="138" t="str">
        <f t="shared" si="14"/>
        <v/>
      </c>
      <c r="E183" s="150"/>
      <c r="F183" s="189" t="str">
        <f t="shared" si="15"/>
        <v/>
      </c>
      <c r="G183" s="183"/>
      <c r="H183" s="183"/>
      <c r="I183" s="183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5" t="str">
        <f t="shared" si="13"/>
        <v/>
      </c>
      <c r="D184" s="138" t="str">
        <f t="shared" si="14"/>
        <v/>
      </c>
      <c r="E184" s="150"/>
      <c r="F184" s="189" t="str">
        <f t="shared" si="15"/>
        <v/>
      </c>
      <c r="G184" s="183"/>
      <c r="H184" s="183"/>
      <c r="I184" s="183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5" t="str">
        <f t="shared" si="13"/>
        <v/>
      </c>
      <c r="D185" s="138" t="str">
        <f t="shared" si="14"/>
        <v/>
      </c>
      <c r="E185" s="150"/>
      <c r="F185" s="189" t="str">
        <f t="shared" si="15"/>
        <v/>
      </c>
      <c r="G185" s="183"/>
      <c r="H185" s="183"/>
      <c r="I185" s="183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5" t="str">
        <f t="shared" si="13"/>
        <v/>
      </c>
      <c r="D186" s="138" t="str">
        <f t="shared" si="14"/>
        <v/>
      </c>
      <c r="E186" s="150"/>
      <c r="F186" s="189" t="str">
        <f t="shared" si="15"/>
        <v/>
      </c>
      <c r="G186" s="183"/>
      <c r="H186" s="183"/>
      <c r="I186" s="183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5" t="str">
        <f t="shared" si="13"/>
        <v/>
      </c>
      <c r="D187" s="138" t="str">
        <f t="shared" si="14"/>
        <v/>
      </c>
      <c r="E187" s="150"/>
      <c r="F187" s="189" t="str">
        <f t="shared" si="15"/>
        <v/>
      </c>
      <c r="G187" s="183"/>
      <c r="H187" s="183"/>
      <c r="I187" s="183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5" t="str">
        <f t="shared" si="13"/>
        <v/>
      </c>
      <c r="D188" s="138" t="str">
        <f t="shared" si="14"/>
        <v/>
      </c>
      <c r="E188" s="150"/>
      <c r="F188" s="189" t="str">
        <f t="shared" si="15"/>
        <v/>
      </c>
      <c r="G188" s="183"/>
      <c r="H188" s="183"/>
      <c r="I188" s="183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5" t="str">
        <f t="shared" si="13"/>
        <v/>
      </c>
      <c r="D189" s="138" t="str">
        <f t="shared" si="14"/>
        <v/>
      </c>
      <c r="E189" s="150"/>
      <c r="F189" s="189" t="str">
        <f t="shared" si="15"/>
        <v/>
      </c>
      <c r="G189" s="183"/>
      <c r="H189" s="183"/>
      <c r="I189" s="183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5" t="str">
        <f t="shared" si="13"/>
        <v/>
      </c>
      <c r="D190" s="138" t="str">
        <f t="shared" si="14"/>
        <v/>
      </c>
      <c r="E190" s="150"/>
      <c r="F190" s="189" t="str">
        <f t="shared" si="15"/>
        <v/>
      </c>
      <c r="G190" s="183"/>
      <c r="H190" s="183"/>
      <c r="I190" s="183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5" t="str">
        <f t="shared" si="13"/>
        <v/>
      </c>
      <c r="D191" s="138" t="str">
        <f t="shared" si="14"/>
        <v/>
      </c>
      <c r="E191" s="150"/>
      <c r="F191" s="189" t="str">
        <f t="shared" si="15"/>
        <v/>
      </c>
      <c r="G191" s="183"/>
      <c r="H191" s="183"/>
      <c r="I191" s="183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5" t="str">
        <f t="shared" si="13"/>
        <v/>
      </c>
      <c r="D192" s="138" t="str">
        <f t="shared" si="14"/>
        <v/>
      </c>
      <c r="E192" s="150"/>
      <c r="F192" s="189" t="str">
        <f t="shared" si="15"/>
        <v/>
      </c>
      <c r="G192" s="183"/>
      <c r="H192" s="183"/>
      <c r="I192" s="183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5" t="str">
        <f t="shared" si="13"/>
        <v/>
      </c>
      <c r="D193" s="138" t="str">
        <f t="shared" si="14"/>
        <v/>
      </c>
      <c r="E193" s="150"/>
      <c r="F193" s="189" t="str">
        <f t="shared" si="15"/>
        <v/>
      </c>
      <c r="G193" s="183"/>
      <c r="H193" s="183"/>
      <c r="I193" s="183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5" t="str">
        <f t="shared" si="13"/>
        <v/>
      </c>
      <c r="D194" s="138" t="str">
        <f t="shared" si="14"/>
        <v/>
      </c>
      <c r="E194" s="150"/>
      <c r="F194" s="189" t="str">
        <f t="shared" si="15"/>
        <v/>
      </c>
      <c r="G194" s="183"/>
      <c r="H194" s="183"/>
      <c r="I194" s="183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5" t="str">
        <f t="shared" si="13"/>
        <v/>
      </c>
      <c r="D195" s="138" t="str">
        <f t="shared" si="14"/>
        <v/>
      </c>
      <c r="E195" s="150"/>
      <c r="F195" s="189" t="str">
        <f t="shared" si="15"/>
        <v/>
      </c>
      <c r="G195" s="183"/>
      <c r="H195" s="183"/>
      <c r="I195" s="183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5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89" t="str">
        <f t="shared" ref="F196:F259" si="20">IFERROR(VLOOKUP(E196,$Q$6:$T$200,2,FALSE),"")</f>
        <v/>
      </c>
      <c r="G196" s="183"/>
      <c r="H196" s="183"/>
      <c r="I196" s="183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5" t="str">
        <f t="shared" si="18"/>
        <v/>
      </c>
      <c r="D197" s="138" t="str">
        <f t="shared" si="19"/>
        <v/>
      </c>
      <c r="E197" s="150"/>
      <c r="F197" s="189" t="str">
        <f t="shared" si="20"/>
        <v/>
      </c>
      <c r="G197" s="183"/>
      <c r="H197" s="183"/>
      <c r="I197" s="183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5" t="str">
        <f t="shared" si="18"/>
        <v/>
      </c>
      <c r="D198" s="138" t="str">
        <f t="shared" si="19"/>
        <v/>
      </c>
      <c r="E198" s="150"/>
      <c r="F198" s="189" t="str">
        <f t="shared" si="20"/>
        <v/>
      </c>
      <c r="G198" s="183"/>
      <c r="H198" s="183"/>
      <c r="I198" s="183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5" t="str">
        <f t="shared" si="18"/>
        <v/>
      </c>
      <c r="D199" s="138" t="str">
        <f t="shared" si="19"/>
        <v/>
      </c>
      <c r="E199" s="150"/>
      <c r="F199" s="189" t="str">
        <f t="shared" si="20"/>
        <v/>
      </c>
      <c r="G199" s="183"/>
      <c r="H199" s="183"/>
      <c r="I199" s="183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5" t="str">
        <f t="shared" si="18"/>
        <v/>
      </c>
      <c r="D200" s="138" t="str">
        <f t="shared" si="19"/>
        <v/>
      </c>
      <c r="E200" s="150"/>
      <c r="F200" s="189" t="str">
        <f t="shared" si="20"/>
        <v/>
      </c>
      <c r="G200" s="183"/>
      <c r="H200" s="183"/>
      <c r="I200" s="183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5" t="str">
        <f t="shared" si="18"/>
        <v/>
      </c>
      <c r="D201" s="138" t="str">
        <f t="shared" si="19"/>
        <v/>
      </c>
      <c r="E201" s="150"/>
      <c r="F201" s="189" t="str">
        <f t="shared" si="20"/>
        <v/>
      </c>
      <c r="G201" s="183"/>
      <c r="H201" s="183"/>
      <c r="I201" s="183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5" t="str">
        <f t="shared" si="18"/>
        <v/>
      </c>
      <c r="D202" s="138" t="str">
        <f t="shared" si="19"/>
        <v/>
      </c>
      <c r="E202" s="150"/>
      <c r="F202" s="189" t="str">
        <f t="shared" si="20"/>
        <v/>
      </c>
      <c r="G202" s="183"/>
      <c r="H202" s="183"/>
      <c r="I202" s="183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5" t="str">
        <f t="shared" si="18"/>
        <v/>
      </c>
      <c r="D203" s="138" t="str">
        <f t="shared" si="19"/>
        <v/>
      </c>
      <c r="E203" s="150"/>
      <c r="F203" s="189" t="str">
        <f t="shared" si="20"/>
        <v/>
      </c>
      <c r="G203" s="183"/>
      <c r="H203" s="183"/>
      <c r="I203" s="183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5" t="str">
        <f t="shared" si="18"/>
        <v/>
      </c>
      <c r="D204" s="138" t="str">
        <f t="shared" si="19"/>
        <v/>
      </c>
      <c r="E204" s="150"/>
      <c r="F204" s="189" t="str">
        <f t="shared" si="20"/>
        <v/>
      </c>
      <c r="G204" s="183"/>
      <c r="H204" s="183"/>
      <c r="I204" s="183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5" t="str">
        <f t="shared" si="18"/>
        <v/>
      </c>
      <c r="D205" s="138" t="str">
        <f t="shared" si="19"/>
        <v/>
      </c>
      <c r="E205" s="150"/>
      <c r="F205" s="189" t="str">
        <f t="shared" si="20"/>
        <v/>
      </c>
      <c r="G205" s="183"/>
      <c r="H205" s="183"/>
      <c r="I205" s="183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5" t="str">
        <f t="shared" si="18"/>
        <v/>
      </c>
      <c r="D206" s="138" t="str">
        <f t="shared" si="19"/>
        <v/>
      </c>
      <c r="E206" s="150"/>
      <c r="F206" s="189" t="str">
        <f t="shared" si="20"/>
        <v/>
      </c>
      <c r="G206" s="183"/>
      <c r="H206" s="183"/>
      <c r="I206" s="183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5" t="str">
        <f t="shared" si="18"/>
        <v/>
      </c>
      <c r="D207" s="138" t="str">
        <f t="shared" si="19"/>
        <v/>
      </c>
      <c r="E207" s="150"/>
      <c r="F207" s="189" t="str">
        <f t="shared" si="20"/>
        <v/>
      </c>
      <c r="G207" s="183"/>
      <c r="H207" s="183"/>
      <c r="I207" s="183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5" t="str">
        <f t="shared" si="18"/>
        <v/>
      </c>
      <c r="D208" s="138" t="str">
        <f t="shared" si="19"/>
        <v/>
      </c>
      <c r="E208" s="150"/>
      <c r="F208" s="189" t="str">
        <f t="shared" si="20"/>
        <v/>
      </c>
      <c r="G208" s="183"/>
      <c r="H208" s="183"/>
      <c r="I208" s="183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5" t="str">
        <f t="shared" si="18"/>
        <v/>
      </c>
      <c r="D209" s="138" t="str">
        <f t="shared" si="19"/>
        <v/>
      </c>
      <c r="E209" s="150"/>
      <c r="F209" s="189" t="str">
        <f t="shared" si="20"/>
        <v/>
      </c>
      <c r="G209" s="183"/>
      <c r="H209" s="183"/>
      <c r="I209" s="183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5" t="str">
        <f t="shared" si="18"/>
        <v/>
      </c>
      <c r="D210" s="138" t="str">
        <f t="shared" si="19"/>
        <v/>
      </c>
      <c r="E210" s="150"/>
      <c r="F210" s="189" t="str">
        <f t="shared" si="20"/>
        <v/>
      </c>
      <c r="G210" s="183"/>
      <c r="H210" s="183"/>
      <c r="I210" s="183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5" t="str">
        <f t="shared" si="18"/>
        <v/>
      </c>
      <c r="D211" s="138" t="str">
        <f t="shared" si="19"/>
        <v/>
      </c>
      <c r="E211" s="150"/>
      <c r="F211" s="189" t="str">
        <f t="shared" si="20"/>
        <v/>
      </c>
      <c r="G211" s="183"/>
      <c r="H211" s="183"/>
      <c r="I211" s="183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5" t="str">
        <f t="shared" si="18"/>
        <v/>
      </c>
      <c r="D212" s="138" t="str">
        <f t="shared" si="19"/>
        <v/>
      </c>
      <c r="E212" s="150"/>
      <c r="F212" s="189" t="str">
        <f t="shared" si="20"/>
        <v/>
      </c>
      <c r="G212" s="183"/>
      <c r="H212" s="183"/>
      <c r="I212" s="183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5" t="str">
        <f t="shared" si="18"/>
        <v/>
      </c>
      <c r="D213" s="138" t="str">
        <f t="shared" si="19"/>
        <v/>
      </c>
      <c r="E213" s="150"/>
      <c r="F213" s="189" t="str">
        <f t="shared" si="20"/>
        <v/>
      </c>
      <c r="G213" s="183"/>
      <c r="H213" s="183"/>
      <c r="I213" s="183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5" t="str">
        <f t="shared" si="18"/>
        <v/>
      </c>
      <c r="D214" s="138" t="str">
        <f t="shared" si="19"/>
        <v/>
      </c>
      <c r="E214" s="150"/>
      <c r="F214" s="189" t="str">
        <f t="shared" si="20"/>
        <v/>
      </c>
      <c r="G214" s="183"/>
      <c r="H214" s="183"/>
      <c r="I214" s="183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5" t="str">
        <f t="shared" si="18"/>
        <v/>
      </c>
      <c r="D215" s="138" t="str">
        <f t="shared" si="19"/>
        <v/>
      </c>
      <c r="E215" s="150"/>
      <c r="F215" s="189" t="str">
        <f t="shared" si="20"/>
        <v/>
      </c>
      <c r="G215" s="183"/>
      <c r="H215" s="183"/>
      <c r="I215" s="183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5" t="str">
        <f t="shared" si="18"/>
        <v/>
      </c>
      <c r="D216" s="138" t="str">
        <f t="shared" si="19"/>
        <v/>
      </c>
      <c r="E216" s="150"/>
      <c r="F216" s="189" t="str">
        <f t="shared" si="20"/>
        <v/>
      </c>
      <c r="G216" s="183"/>
      <c r="H216" s="183"/>
      <c r="I216" s="183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5" t="str">
        <f t="shared" si="18"/>
        <v/>
      </c>
      <c r="D217" s="138" t="str">
        <f t="shared" si="19"/>
        <v/>
      </c>
      <c r="E217" s="150"/>
      <c r="F217" s="189" t="str">
        <f t="shared" si="20"/>
        <v/>
      </c>
      <c r="G217" s="183"/>
      <c r="H217" s="183"/>
      <c r="I217" s="183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5" t="str">
        <f t="shared" si="18"/>
        <v/>
      </c>
      <c r="D218" s="138" t="str">
        <f t="shared" si="19"/>
        <v/>
      </c>
      <c r="E218" s="150"/>
      <c r="F218" s="189" t="str">
        <f t="shared" si="20"/>
        <v/>
      </c>
      <c r="G218" s="183"/>
      <c r="H218" s="183"/>
      <c r="I218" s="183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5" t="str">
        <f t="shared" si="18"/>
        <v/>
      </c>
      <c r="D219" s="138" t="str">
        <f t="shared" si="19"/>
        <v/>
      </c>
      <c r="E219" s="150"/>
      <c r="F219" s="189" t="str">
        <f t="shared" si="20"/>
        <v/>
      </c>
      <c r="G219" s="183"/>
      <c r="H219" s="183"/>
      <c r="I219" s="183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5" t="str">
        <f t="shared" si="18"/>
        <v/>
      </c>
      <c r="D220" s="138" t="str">
        <f t="shared" si="19"/>
        <v/>
      </c>
      <c r="E220" s="150"/>
      <c r="F220" s="189" t="str">
        <f t="shared" si="20"/>
        <v/>
      </c>
      <c r="G220" s="183"/>
      <c r="H220" s="183"/>
      <c r="I220" s="183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5" t="str">
        <f t="shared" si="18"/>
        <v/>
      </c>
      <c r="D221" s="138" t="str">
        <f t="shared" si="19"/>
        <v/>
      </c>
      <c r="E221" s="150"/>
      <c r="F221" s="189" t="str">
        <f t="shared" si="20"/>
        <v/>
      </c>
      <c r="G221" s="183"/>
      <c r="H221" s="183"/>
      <c r="I221" s="183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5" t="str">
        <f t="shared" si="18"/>
        <v/>
      </c>
      <c r="D222" s="138" t="str">
        <f t="shared" si="19"/>
        <v/>
      </c>
      <c r="E222" s="150"/>
      <c r="F222" s="189" t="str">
        <f t="shared" si="20"/>
        <v/>
      </c>
      <c r="G222" s="183"/>
      <c r="H222" s="183"/>
      <c r="I222" s="183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5" t="str">
        <f t="shared" si="18"/>
        <v/>
      </c>
      <c r="D223" s="138" t="str">
        <f t="shared" si="19"/>
        <v/>
      </c>
      <c r="E223" s="150"/>
      <c r="F223" s="189" t="str">
        <f t="shared" si="20"/>
        <v/>
      </c>
      <c r="G223" s="183"/>
      <c r="H223" s="183"/>
      <c r="I223" s="183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5" t="str">
        <f t="shared" si="18"/>
        <v/>
      </c>
      <c r="D224" s="138" t="str">
        <f t="shared" si="19"/>
        <v/>
      </c>
      <c r="E224" s="150"/>
      <c r="F224" s="189" t="str">
        <f t="shared" si="20"/>
        <v/>
      </c>
      <c r="G224" s="183"/>
      <c r="H224" s="183"/>
      <c r="I224" s="183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5" t="str">
        <f t="shared" si="18"/>
        <v/>
      </c>
      <c r="D225" s="138" t="str">
        <f t="shared" si="19"/>
        <v/>
      </c>
      <c r="E225" s="150"/>
      <c r="F225" s="189" t="str">
        <f t="shared" si="20"/>
        <v/>
      </c>
      <c r="G225" s="183"/>
      <c r="H225" s="183"/>
      <c r="I225" s="183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5" t="str">
        <f t="shared" si="18"/>
        <v/>
      </c>
      <c r="D226" s="138" t="str">
        <f t="shared" si="19"/>
        <v/>
      </c>
      <c r="E226" s="150"/>
      <c r="F226" s="189" t="str">
        <f t="shared" si="20"/>
        <v/>
      </c>
      <c r="G226" s="183"/>
      <c r="H226" s="183"/>
      <c r="I226" s="183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5" t="str">
        <f t="shared" si="18"/>
        <v/>
      </c>
      <c r="D227" s="138" t="str">
        <f t="shared" si="19"/>
        <v/>
      </c>
      <c r="E227" s="150"/>
      <c r="F227" s="189" t="str">
        <f t="shared" si="20"/>
        <v/>
      </c>
      <c r="G227" s="183"/>
      <c r="H227" s="183"/>
      <c r="I227" s="183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5" t="str">
        <f t="shared" si="18"/>
        <v/>
      </c>
      <c r="D228" s="138" t="str">
        <f t="shared" si="19"/>
        <v/>
      </c>
      <c r="E228" s="150"/>
      <c r="F228" s="189" t="str">
        <f t="shared" si="20"/>
        <v/>
      </c>
      <c r="G228" s="183"/>
      <c r="H228" s="183"/>
      <c r="I228" s="183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5" t="str">
        <f t="shared" si="18"/>
        <v/>
      </c>
      <c r="D229" s="138" t="str">
        <f t="shared" si="19"/>
        <v/>
      </c>
      <c r="E229" s="150"/>
      <c r="F229" s="189" t="str">
        <f t="shared" si="20"/>
        <v/>
      </c>
      <c r="G229" s="183"/>
      <c r="H229" s="183"/>
      <c r="I229" s="183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5" t="str">
        <f t="shared" si="18"/>
        <v/>
      </c>
      <c r="D230" s="138" t="str">
        <f t="shared" si="19"/>
        <v/>
      </c>
      <c r="E230" s="150"/>
      <c r="F230" s="189" t="str">
        <f t="shared" si="20"/>
        <v/>
      </c>
      <c r="G230" s="183"/>
      <c r="H230" s="183"/>
      <c r="I230" s="183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5" t="str">
        <f t="shared" si="18"/>
        <v/>
      </c>
      <c r="D231" s="138" t="str">
        <f t="shared" si="19"/>
        <v/>
      </c>
      <c r="E231" s="150"/>
      <c r="F231" s="189" t="str">
        <f t="shared" si="20"/>
        <v/>
      </c>
      <c r="G231" s="183"/>
      <c r="H231" s="183"/>
      <c r="I231" s="183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5" t="str">
        <f t="shared" si="18"/>
        <v/>
      </c>
      <c r="D232" s="138" t="str">
        <f t="shared" si="19"/>
        <v/>
      </c>
      <c r="E232" s="150"/>
      <c r="F232" s="189" t="str">
        <f t="shared" si="20"/>
        <v/>
      </c>
      <c r="G232" s="183"/>
      <c r="H232" s="183"/>
      <c r="I232" s="183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5" t="str">
        <f t="shared" si="18"/>
        <v/>
      </c>
      <c r="D233" s="138" t="str">
        <f t="shared" si="19"/>
        <v/>
      </c>
      <c r="E233" s="150"/>
      <c r="F233" s="189" t="str">
        <f t="shared" si="20"/>
        <v/>
      </c>
      <c r="G233" s="183"/>
      <c r="H233" s="183"/>
      <c r="I233" s="183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5" t="str">
        <f t="shared" si="18"/>
        <v/>
      </c>
      <c r="D234" s="138" t="str">
        <f t="shared" si="19"/>
        <v/>
      </c>
      <c r="E234" s="150"/>
      <c r="F234" s="189" t="str">
        <f t="shared" si="20"/>
        <v/>
      </c>
      <c r="G234" s="183"/>
      <c r="H234" s="183"/>
      <c r="I234" s="183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5" t="str">
        <f t="shared" si="18"/>
        <v/>
      </c>
      <c r="D235" s="138" t="str">
        <f t="shared" si="19"/>
        <v/>
      </c>
      <c r="E235" s="150"/>
      <c r="F235" s="189" t="str">
        <f t="shared" si="20"/>
        <v/>
      </c>
      <c r="G235" s="183"/>
      <c r="H235" s="183"/>
      <c r="I235" s="183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5" t="str">
        <f t="shared" si="18"/>
        <v/>
      </c>
      <c r="D236" s="138" t="str">
        <f t="shared" si="19"/>
        <v/>
      </c>
      <c r="E236" s="150"/>
      <c r="F236" s="189" t="str">
        <f t="shared" si="20"/>
        <v/>
      </c>
      <c r="G236" s="183"/>
      <c r="H236" s="183"/>
      <c r="I236" s="183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5" t="str">
        <f t="shared" si="18"/>
        <v/>
      </c>
      <c r="D237" s="138" t="str">
        <f t="shared" si="19"/>
        <v/>
      </c>
      <c r="E237" s="150"/>
      <c r="F237" s="189" t="str">
        <f t="shared" si="20"/>
        <v/>
      </c>
      <c r="G237" s="183"/>
      <c r="H237" s="183"/>
      <c r="I237" s="183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5" t="str">
        <f t="shared" si="18"/>
        <v/>
      </c>
      <c r="D238" s="138" t="str">
        <f t="shared" si="19"/>
        <v/>
      </c>
      <c r="E238" s="150"/>
      <c r="F238" s="189" t="str">
        <f t="shared" si="20"/>
        <v/>
      </c>
      <c r="G238" s="183"/>
      <c r="H238" s="183"/>
      <c r="I238" s="183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5" t="str">
        <f t="shared" si="18"/>
        <v/>
      </c>
      <c r="D239" s="138" t="str">
        <f t="shared" si="19"/>
        <v/>
      </c>
      <c r="E239" s="150"/>
      <c r="F239" s="189" t="str">
        <f t="shared" si="20"/>
        <v/>
      </c>
      <c r="G239" s="183"/>
      <c r="H239" s="183"/>
      <c r="I239" s="183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5" t="str">
        <f t="shared" si="18"/>
        <v/>
      </c>
      <c r="D240" s="138" t="str">
        <f t="shared" si="19"/>
        <v/>
      </c>
      <c r="E240" s="150"/>
      <c r="F240" s="189" t="str">
        <f t="shared" si="20"/>
        <v/>
      </c>
      <c r="G240" s="183"/>
      <c r="H240" s="183"/>
      <c r="I240" s="183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5" t="str">
        <f t="shared" si="18"/>
        <v/>
      </c>
      <c r="D241" s="138" t="str">
        <f t="shared" si="19"/>
        <v/>
      </c>
      <c r="E241" s="150"/>
      <c r="F241" s="189" t="str">
        <f t="shared" si="20"/>
        <v/>
      </c>
      <c r="G241" s="183"/>
      <c r="H241" s="183"/>
      <c r="I241" s="183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5" t="str">
        <f t="shared" si="18"/>
        <v/>
      </c>
      <c r="D242" s="138" t="str">
        <f t="shared" si="19"/>
        <v/>
      </c>
      <c r="E242" s="150"/>
      <c r="F242" s="189" t="str">
        <f t="shared" si="20"/>
        <v/>
      </c>
      <c r="G242" s="183"/>
      <c r="H242" s="183"/>
      <c r="I242" s="183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5" t="str">
        <f t="shared" si="18"/>
        <v/>
      </c>
      <c r="D243" s="138" t="str">
        <f t="shared" si="19"/>
        <v/>
      </c>
      <c r="E243" s="150"/>
      <c r="F243" s="189" t="str">
        <f t="shared" si="20"/>
        <v/>
      </c>
      <c r="G243" s="183"/>
      <c r="H243" s="183"/>
      <c r="I243" s="183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5" t="str">
        <f t="shared" si="18"/>
        <v/>
      </c>
      <c r="D244" s="138" t="str">
        <f t="shared" si="19"/>
        <v/>
      </c>
      <c r="E244" s="150"/>
      <c r="F244" s="189" t="str">
        <f t="shared" si="20"/>
        <v/>
      </c>
      <c r="G244" s="183"/>
      <c r="H244" s="183"/>
      <c r="I244" s="183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5" t="str">
        <f t="shared" si="18"/>
        <v/>
      </c>
      <c r="D245" s="138" t="str">
        <f t="shared" si="19"/>
        <v/>
      </c>
      <c r="E245" s="150"/>
      <c r="F245" s="189" t="str">
        <f t="shared" si="20"/>
        <v/>
      </c>
      <c r="G245" s="183"/>
      <c r="H245" s="183"/>
      <c r="I245" s="183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5" t="str">
        <f t="shared" si="18"/>
        <v/>
      </c>
      <c r="D246" s="138" t="str">
        <f t="shared" si="19"/>
        <v/>
      </c>
      <c r="E246" s="150"/>
      <c r="F246" s="189" t="str">
        <f t="shared" si="20"/>
        <v/>
      </c>
      <c r="G246" s="183"/>
      <c r="H246" s="183"/>
      <c r="I246" s="183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5" t="str">
        <f t="shared" si="18"/>
        <v/>
      </c>
      <c r="D247" s="138" t="str">
        <f t="shared" si="19"/>
        <v/>
      </c>
      <c r="E247" s="150"/>
      <c r="F247" s="189" t="str">
        <f t="shared" si="20"/>
        <v/>
      </c>
      <c r="G247" s="183"/>
      <c r="H247" s="183"/>
      <c r="I247" s="183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5" t="str">
        <f t="shared" si="18"/>
        <v/>
      </c>
      <c r="D248" s="138" t="str">
        <f t="shared" si="19"/>
        <v/>
      </c>
      <c r="E248" s="150"/>
      <c r="F248" s="189" t="str">
        <f t="shared" si="20"/>
        <v/>
      </c>
      <c r="G248" s="183"/>
      <c r="H248" s="183"/>
      <c r="I248" s="183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5" t="str">
        <f t="shared" si="18"/>
        <v/>
      </c>
      <c r="D249" s="138" t="str">
        <f t="shared" si="19"/>
        <v/>
      </c>
      <c r="E249" s="150"/>
      <c r="F249" s="189" t="str">
        <f t="shared" si="20"/>
        <v/>
      </c>
      <c r="G249" s="183"/>
      <c r="H249" s="183"/>
      <c r="I249" s="183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5" t="str">
        <f t="shared" si="18"/>
        <v/>
      </c>
      <c r="D250" s="138" t="str">
        <f t="shared" si="19"/>
        <v/>
      </c>
      <c r="E250" s="150"/>
      <c r="F250" s="189" t="str">
        <f t="shared" si="20"/>
        <v/>
      </c>
      <c r="G250" s="183"/>
      <c r="H250" s="183"/>
      <c r="I250" s="183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5" t="str">
        <f t="shared" si="18"/>
        <v/>
      </c>
      <c r="D251" s="138" t="str">
        <f t="shared" si="19"/>
        <v/>
      </c>
      <c r="E251" s="150"/>
      <c r="F251" s="189" t="str">
        <f t="shared" si="20"/>
        <v/>
      </c>
      <c r="G251" s="183"/>
      <c r="H251" s="183"/>
      <c r="I251" s="183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5" t="str">
        <f t="shared" si="18"/>
        <v/>
      </c>
      <c r="D252" s="138" t="str">
        <f t="shared" si="19"/>
        <v/>
      </c>
      <c r="E252" s="150"/>
      <c r="F252" s="189" t="str">
        <f t="shared" si="20"/>
        <v/>
      </c>
      <c r="G252" s="183"/>
      <c r="H252" s="183"/>
      <c r="I252" s="183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5" t="str">
        <f t="shared" si="18"/>
        <v/>
      </c>
      <c r="D253" s="138" t="str">
        <f t="shared" si="19"/>
        <v/>
      </c>
      <c r="E253" s="150"/>
      <c r="F253" s="189" t="str">
        <f t="shared" si="20"/>
        <v/>
      </c>
      <c r="G253" s="183"/>
      <c r="H253" s="183"/>
      <c r="I253" s="183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5" t="str">
        <f t="shared" si="18"/>
        <v/>
      </c>
      <c r="D254" s="138" t="str">
        <f t="shared" si="19"/>
        <v/>
      </c>
      <c r="E254" s="150"/>
      <c r="F254" s="189" t="str">
        <f t="shared" si="20"/>
        <v/>
      </c>
      <c r="G254" s="183"/>
      <c r="H254" s="183"/>
      <c r="I254" s="183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5" t="str">
        <f t="shared" si="18"/>
        <v/>
      </c>
      <c r="D255" s="138" t="str">
        <f t="shared" si="19"/>
        <v/>
      </c>
      <c r="E255" s="150"/>
      <c r="F255" s="189" t="str">
        <f t="shared" si="20"/>
        <v/>
      </c>
      <c r="G255" s="183"/>
      <c r="H255" s="183"/>
      <c r="I255" s="183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5" t="str">
        <f t="shared" si="18"/>
        <v/>
      </c>
      <c r="D256" s="138" t="str">
        <f t="shared" si="19"/>
        <v/>
      </c>
      <c r="E256" s="150"/>
      <c r="F256" s="189" t="str">
        <f t="shared" si="20"/>
        <v/>
      </c>
      <c r="G256" s="183"/>
      <c r="H256" s="183"/>
      <c r="I256" s="183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5" t="str">
        <f t="shared" si="18"/>
        <v/>
      </c>
      <c r="D257" s="138" t="str">
        <f t="shared" si="19"/>
        <v/>
      </c>
      <c r="E257" s="150"/>
      <c r="F257" s="189" t="str">
        <f t="shared" si="20"/>
        <v/>
      </c>
      <c r="G257" s="183"/>
      <c r="H257" s="183"/>
      <c r="I257" s="183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5" t="str">
        <f t="shared" si="18"/>
        <v/>
      </c>
      <c r="D258" s="138" t="str">
        <f t="shared" si="19"/>
        <v/>
      </c>
      <c r="E258" s="150"/>
      <c r="F258" s="189" t="str">
        <f t="shared" si="20"/>
        <v/>
      </c>
      <c r="G258" s="183"/>
      <c r="H258" s="183"/>
      <c r="I258" s="183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5" t="str">
        <f t="shared" si="18"/>
        <v/>
      </c>
      <c r="D259" s="138" t="str">
        <f t="shared" si="19"/>
        <v/>
      </c>
      <c r="E259" s="150"/>
      <c r="F259" s="189" t="str">
        <f t="shared" si="20"/>
        <v/>
      </c>
      <c r="G259" s="183"/>
      <c r="H259" s="183"/>
      <c r="I259" s="183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5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89" t="str">
        <f t="shared" ref="F260:F323" si="25">IFERROR(VLOOKUP(E260,$Q$6:$T$200,2,FALSE),"")</f>
        <v/>
      </c>
      <c r="G260" s="183"/>
      <c r="H260" s="183"/>
      <c r="I260" s="183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5" t="str">
        <f t="shared" si="23"/>
        <v/>
      </c>
      <c r="D261" s="138" t="str">
        <f t="shared" si="24"/>
        <v/>
      </c>
      <c r="E261" s="150"/>
      <c r="F261" s="189" t="str">
        <f t="shared" si="25"/>
        <v/>
      </c>
      <c r="G261" s="183"/>
      <c r="H261" s="183"/>
      <c r="I261" s="183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5" t="str">
        <f t="shared" si="23"/>
        <v/>
      </c>
      <c r="D262" s="138" t="str">
        <f t="shared" si="24"/>
        <v/>
      </c>
      <c r="E262" s="150"/>
      <c r="F262" s="189" t="str">
        <f t="shared" si="25"/>
        <v/>
      </c>
      <c r="G262" s="183"/>
      <c r="H262" s="183"/>
      <c r="I262" s="183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5" t="str">
        <f t="shared" si="23"/>
        <v/>
      </c>
      <c r="D263" s="138" t="str">
        <f t="shared" si="24"/>
        <v/>
      </c>
      <c r="E263" s="150"/>
      <c r="F263" s="189" t="str">
        <f t="shared" si="25"/>
        <v/>
      </c>
      <c r="G263" s="183"/>
      <c r="H263" s="183"/>
      <c r="I263" s="183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5" t="str">
        <f t="shared" si="23"/>
        <v/>
      </c>
      <c r="D264" s="138" t="str">
        <f t="shared" si="24"/>
        <v/>
      </c>
      <c r="E264" s="150"/>
      <c r="F264" s="189" t="str">
        <f t="shared" si="25"/>
        <v/>
      </c>
      <c r="G264" s="183"/>
      <c r="H264" s="183"/>
      <c r="I264" s="183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5" t="str">
        <f t="shared" si="23"/>
        <v/>
      </c>
      <c r="D265" s="138" t="str">
        <f t="shared" si="24"/>
        <v/>
      </c>
      <c r="E265" s="150"/>
      <c r="F265" s="189" t="str">
        <f t="shared" si="25"/>
        <v/>
      </c>
      <c r="G265" s="183"/>
      <c r="H265" s="183"/>
      <c r="I265" s="183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5" t="str">
        <f t="shared" si="23"/>
        <v/>
      </c>
      <c r="D266" s="138" t="str">
        <f t="shared" si="24"/>
        <v/>
      </c>
      <c r="E266" s="150"/>
      <c r="F266" s="189" t="str">
        <f t="shared" si="25"/>
        <v/>
      </c>
      <c r="G266" s="183"/>
      <c r="H266" s="183"/>
      <c r="I266" s="183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5" t="str">
        <f t="shared" si="23"/>
        <v/>
      </c>
      <c r="D267" s="138" t="str">
        <f t="shared" si="24"/>
        <v/>
      </c>
      <c r="E267" s="150"/>
      <c r="F267" s="189" t="str">
        <f t="shared" si="25"/>
        <v/>
      </c>
      <c r="G267" s="183"/>
      <c r="H267" s="183"/>
      <c r="I267" s="183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5" t="str">
        <f t="shared" si="23"/>
        <v/>
      </c>
      <c r="D268" s="138" t="str">
        <f t="shared" si="24"/>
        <v/>
      </c>
      <c r="E268" s="150"/>
      <c r="F268" s="189" t="str">
        <f t="shared" si="25"/>
        <v/>
      </c>
      <c r="G268" s="183"/>
      <c r="H268" s="183"/>
      <c r="I268" s="183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5" t="str">
        <f t="shared" si="23"/>
        <v/>
      </c>
      <c r="D269" s="138" t="str">
        <f t="shared" si="24"/>
        <v/>
      </c>
      <c r="E269" s="150"/>
      <c r="F269" s="189" t="str">
        <f t="shared" si="25"/>
        <v/>
      </c>
      <c r="G269" s="183"/>
      <c r="H269" s="183"/>
      <c r="I269" s="183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5" t="str">
        <f t="shared" si="23"/>
        <v/>
      </c>
      <c r="D270" s="138" t="str">
        <f t="shared" si="24"/>
        <v/>
      </c>
      <c r="E270" s="150"/>
      <c r="F270" s="189" t="str">
        <f t="shared" si="25"/>
        <v/>
      </c>
      <c r="G270" s="183"/>
      <c r="H270" s="183"/>
      <c r="I270" s="183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5" t="str">
        <f t="shared" si="23"/>
        <v/>
      </c>
      <c r="D271" s="138" t="str">
        <f t="shared" si="24"/>
        <v/>
      </c>
      <c r="E271" s="150"/>
      <c r="F271" s="189" t="str">
        <f t="shared" si="25"/>
        <v/>
      </c>
      <c r="G271" s="183"/>
      <c r="H271" s="183"/>
      <c r="I271" s="183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5" t="str">
        <f t="shared" si="23"/>
        <v/>
      </c>
      <c r="D272" s="138" t="str">
        <f t="shared" si="24"/>
        <v/>
      </c>
      <c r="E272" s="150"/>
      <c r="F272" s="189" t="str">
        <f t="shared" si="25"/>
        <v/>
      </c>
      <c r="G272" s="183"/>
      <c r="H272" s="183"/>
      <c r="I272" s="183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5" t="str">
        <f t="shared" si="23"/>
        <v/>
      </c>
      <c r="D273" s="138" t="str">
        <f t="shared" si="24"/>
        <v/>
      </c>
      <c r="E273" s="150"/>
      <c r="F273" s="189" t="str">
        <f t="shared" si="25"/>
        <v/>
      </c>
      <c r="G273" s="183"/>
      <c r="H273" s="183"/>
      <c r="I273" s="183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5" t="str">
        <f t="shared" si="23"/>
        <v/>
      </c>
      <c r="D274" s="138" t="str">
        <f t="shared" si="24"/>
        <v/>
      </c>
      <c r="E274" s="150"/>
      <c r="F274" s="189" t="str">
        <f t="shared" si="25"/>
        <v/>
      </c>
      <c r="G274" s="183"/>
      <c r="H274" s="183"/>
      <c r="I274" s="183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5" t="str">
        <f t="shared" si="23"/>
        <v/>
      </c>
      <c r="D275" s="138" t="str">
        <f t="shared" si="24"/>
        <v/>
      </c>
      <c r="E275" s="150"/>
      <c r="F275" s="189" t="str">
        <f t="shared" si="25"/>
        <v/>
      </c>
      <c r="G275" s="183"/>
      <c r="H275" s="183"/>
      <c r="I275" s="183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5" t="str">
        <f t="shared" si="23"/>
        <v/>
      </c>
      <c r="D276" s="138" t="str">
        <f t="shared" si="24"/>
        <v/>
      </c>
      <c r="E276" s="150"/>
      <c r="F276" s="189" t="str">
        <f t="shared" si="25"/>
        <v/>
      </c>
      <c r="G276" s="183"/>
      <c r="H276" s="183"/>
      <c r="I276" s="183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5" t="str">
        <f t="shared" si="23"/>
        <v/>
      </c>
      <c r="D277" s="138" t="str">
        <f t="shared" si="24"/>
        <v/>
      </c>
      <c r="E277" s="150"/>
      <c r="F277" s="189" t="str">
        <f t="shared" si="25"/>
        <v/>
      </c>
      <c r="G277" s="183"/>
      <c r="H277" s="183"/>
      <c r="I277" s="183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5" t="str">
        <f t="shared" si="23"/>
        <v/>
      </c>
      <c r="D278" s="138" t="str">
        <f t="shared" si="24"/>
        <v/>
      </c>
      <c r="E278" s="150"/>
      <c r="F278" s="189" t="str">
        <f t="shared" si="25"/>
        <v/>
      </c>
      <c r="G278" s="183"/>
      <c r="H278" s="183"/>
      <c r="I278" s="183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5" t="str">
        <f t="shared" si="23"/>
        <v/>
      </c>
      <c r="D279" s="138" t="str">
        <f t="shared" si="24"/>
        <v/>
      </c>
      <c r="E279" s="150"/>
      <c r="F279" s="189" t="str">
        <f t="shared" si="25"/>
        <v/>
      </c>
      <c r="G279" s="183"/>
      <c r="H279" s="183"/>
      <c r="I279" s="183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5" t="str">
        <f t="shared" si="23"/>
        <v/>
      </c>
      <c r="D280" s="138" t="str">
        <f t="shared" si="24"/>
        <v/>
      </c>
      <c r="E280" s="150"/>
      <c r="F280" s="189" t="str">
        <f t="shared" si="25"/>
        <v/>
      </c>
      <c r="G280" s="183"/>
      <c r="H280" s="183"/>
      <c r="I280" s="183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5" t="str">
        <f t="shared" si="23"/>
        <v/>
      </c>
      <c r="D281" s="138" t="str">
        <f t="shared" si="24"/>
        <v/>
      </c>
      <c r="E281" s="150"/>
      <c r="F281" s="189" t="str">
        <f t="shared" si="25"/>
        <v/>
      </c>
      <c r="G281" s="183"/>
      <c r="H281" s="183"/>
      <c r="I281" s="183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5" t="str">
        <f t="shared" si="23"/>
        <v/>
      </c>
      <c r="D282" s="138" t="str">
        <f t="shared" si="24"/>
        <v/>
      </c>
      <c r="E282" s="150"/>
      <c r="F282" s="189" t="str">
        <f t="shared" si="25"/>
        <v/>
      </c>
      <c r="G282" s="183"/>
      <c r="H282" s="183"/>
      <c r="I282" s="183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5" t="str">
        <f t="shared" si="23"/>
        <v/>
      </c>
      <c r="D283" s="138" t="str">
        <f t="shared" si="24"/>
        <v/>
      </c>
      <c r="E283" s="150"/>
      <c r="F283" s="189" t="str">
        <f t="shared" si="25"/>
        <v/>
      </c>
      <c r="G283" s="183"/>
      <c r="H283" s="183"/>
      <c r="I283" s="183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5" t="str">
        <f t="shared" si="23"/>
        <v/>
      </c>
      <c r="D284" s="138" t="str">
        <f t="shared" si="24"/>
        <v/>
      </c>
      <c r="E284" s="150"/>
      <c r="F284" s="189" t="str">
        <f t="shared" si="25"/>
        <v/>
      </c>
      <c r="G284" s="183"/>
      <c r="H284" s="183"/>
      <c r="I284" s="183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5" t="str">
        <f t="shared" si="23"/>
        <v/>
      </c>
      <c r="D285" s="138" t="str">
        <f t="shared" si="24"/>
        <v/>
      </c>
      <c r="E285" s="150"/>
      <c r="F285" s="189" t="str">
        <f t="shared" si="25"/>
        <v/>
      </c>
      <c r="G285" s="183"/>
      <c r="H285" s="183"/>
      <c r="I285" s="183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5" t="str">
        <f t="shared" si="23"/>
        <v/>
      </c>
      <c r="D286" s="138" t="str">
        <f t="shared" si="24"/>
        <v/>
      </c>
      <c r="E286" s="150"/>
      <c r="F286" s="189" t="str">
        <f t="shared" si="25"/>
        <v/>
      </c>
      <c r="G286" s="183"/>
      <c r="H286" s="183"/>
      <c r="I286" s="183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5" t="str">
        <f t="shared" si="23"/>
        <v/>
      </c>
      <c r="D287" s="138" t="str">
        <f t="shared" si="24"/>
        <v/>
      </c>
      <c r="E287" s="150"/>
      <c r="F287" s="189" t="str">
        <f t="shared" si="25"/>
        <v/>
      </c>
      <c r="G287" s="183"/>
      <c r="H287" s="183"/>
      <c r="I287" s="183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5" t="str">
        <f t="shared" si="23"/>
        <v/>
      </c>
      <c r="D288" s="138" t="str">
        <f t="shared" si="24"/>
        <v/>
      </c>
      <c r="E288" s="150"/>
      <c r="F288" s="189" t="str">
        <f t="shared" si="25"/>
        <v/>
      </c>
      <c r="G288" s="183"/>
      <c r="H288" s="183"/>
      <c r="I288" s="183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5" t="str">
        <f t="shared" si="23"/>
        <v/>
      </c>
      <c r="D289" s="138" t="str">
        <f t="shared" si="24"/>
        <v/>
      </c>
      <c r="E289" s="150"/>
      <c r="F289" s="189" t="str">
        <f t="shared" si="25"/>
        <v/>
      </c>
      <c r="G289" s="183"/>
      <c r="H289" s="183"/>
      <c r="I289" s="183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5" t="str">
        <f t="shared" si="23"/>
        <v/>
      </c>
      <c r="D290" s="138" t="str">
        <f t="shared" si="24"/>
        <v/>
      </c>
      <c r="E290" s="150"/>
      <c r="F290" s="189" t="str">
        <f t="shared" si="25"/>
        <v/>
      </c>
      <c r="G290" s="183"/>
      <c r="H290" s="183"/>
      <c r="I290" s="183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5" t="str">
        <f t="shared" si="23"/>
        <v/>
      </c>
      <c r="D291" s="138" t="str">
        <f t="shared" si="24"/>
        <v/>
      </c>
      <c r="E291" s="150"/>
      <c r="F291" s="189" t="str">
        <f t="shared" si="25"/>
        <v/>
      </c>
      <c r="G291" s="183"/>
      <c r="H291" s="183"/>
      <c r="I291" s="183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5" t="str">
        <f t="shared" si="23"/>
        <v/>
      </c>
      <c r="D292" s="138" t="str">
        <f t="shared" si="24"/>
        <v/>
      </c>
      <c r="E292" s="150"/>
      <c r="F292" s="189" t="str">
        <f t="shared" si="25"/>
        <v/>
      </c>
      <c r="G292" s="183"/>
      <c r="H292" s="183"/>
      <c r="I292" s="183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5" t="str">
        <f t="shared" si="23"/>
        <v/>
      </c>
      <c r="D293" s="138" t="str">
        <f t="shared" si="24"/>
        <v/>
      </c>
      <c r="E293" s="150"/>
      <c r="F293" s="189" t="str">
        <f t="shared" si="25"/>
        <v/>
      </c>
      <c r="G293" s="183"/>
      <c r="H293" s="183"/>
      <c r="I293" s="183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5" t="str">
        <f t="shared" si="23"/>
        <v/>
      </c>
      <c r="D294" s="138" t="str">
        <f t="shared" si="24"/>
        <v/>
      </c>
      <c r="E294" s="150"/>
      <c r="F294" s="189" t="str">
        <f t="shared" si="25"/>
        <v/>
      </c>
      <c r="G294" s="183"/>
      <c r="H294" s="183"/>
      <c r="I294" s="183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5" t="str">
        <f t="shared" si="23"/>
        <v/>
      </c>
      <c r="D295" s="138" t="str">
        <f t="shared" si="24"/>
        <v/>
      </c>
      <c r="E295" s="150"/>
      <c r="F295" s="189" t="str">
        <f t="shared" si="25"/>
        <v/>
      </c>
      <c r="G295" s="183"/>
      <c r="H295" s="183"/>
      <c r="I295" s="183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5" t="str">
        <f t="shared" si="23"/>
        <v/>
      </c>
      <c r="D296" s="138" t="str">
        <f t="shared" si="24"/>
        <v/>
      </c>
      <c r="E296" s="150"/>
      <c r="F296" s="189" t="str">
        <f t="shared" si="25"/>
        <v/>
      </c>
      <c r="G296" s="183"/>
      <c r="H296" s="183"/>
      <c r="I296" s="183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5" t="str">
        <f t="shared" si="23"/>
        <v/>
      </c>
      <c r="D297" s="138" t="str">
        <f t="shared" si="24"/>
        <v/>
      </c>
      <c r="E297" s="150"/>
      <c r="F297" s="189" t="str">
        <f t="shared" si="25"/>
        <v/>
      </c>
      <c r="G297" s="183"/>
      <c r="H297" s="183"/>
      <c r="I297" s="183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5" t="str">
        <f t="shared" si="23"/>
        <v/>
      </c>
      <c r="D298" s="138" t="str">
        <f t="shared" si="24"/>
        <v/>
      </c>
      <c r="E298" s="150"/>
      <c r="F298" s="189" t="str">
        <f t="shared" si="25"/>
        <v/>
      </c>
      <c r="G298" s="183"/>
      <c r="H298" s="183"/>
      <c r="I298" s="183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5" t="str">
        <f t="shared" si="23"/>
        <v/>
      </c>
      <c r="D299" s="138" t="str">
        <f t="shared" si="24"/>
        <v/>
      </c>
      <c r="E299" s="150"/>
      <c r="F299" s="189" t="str">
        <f t="shared" si="25"/>
        <v/>
      </c>
      <c r="G299" s="183"/>
      <c r="H299" s="183"/>
      <c r="I299" s="183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5" t="str">
        <f t="shared" si="23"/>
        <v/>
      </c>
      <c r="D300" s="138" t="str">
        <f t="shared" si="24"/>
        <v/>
      </c>
      <c r="E300" s="150"/>
      <c r="F300" s="189" t="str">
        <f t="shared" si="25"/>
        <v/>
      </c>
      <c r="G300" s="183"/>
      <c r="H300" s="183"/>
      <c r="I300" s="183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5" t="str">
        <f t="shared" si="23"/>
        <v/>
      </c>
      <c r="D301" s="138" t="str">
        <f t="shared" si="24"/>
        <v/>
      </c>
      <c r="E301" s="150"/>
      <c r="F301" s="189" t="str">
        <f t="shared" si="25"/>
        <v/>
      </c>
      <c r="G301" s="183"/>
      <c r="H301" s="183"/>
      <c r="I301" s="183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5" t="str">
        <f t="shared" si="23"/>
        <v/>
      </c>
      <c r="D302" s="138" t="str">
        <f t="shared" si="24"/>
        <v/>
      </c>
      <c r="E302" s="150"/>
      <c r="F302" s="189" t="str">
        <f t="shared" si="25"/>
        <v/>
      </c>
      <c r="G302" s="183"/>
      <c r="H302" s="183"/>
      <c r="I302" s="183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5" t="str">
        <f t="shared" si="23"/>
        <v/>
      </c>
      <c r="D303" s="138" t="str">
        <f t="shared" si="24"/>
        <v/>
      </c>
      <c r="E303" s="150"/>
      <c r="F303" s="189" t="str">
        <f t="shared" si="25"/>
        <v/>
      </c>
      <c r="G303" s="183"/>
      <c r="H303" s="183"/>
      <c r="I303" s="183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5" t="str">
        <f t="shared" si="23"/>
        <v/>
      </c>
      <c r="D304" s="138" t="str">
        <f t="shared" si="24"/>
        <v/>
      </c>
      <c r="E304" s="150"/>
      <c r="F304" s="189" t="str">
        <f t="shared" si="25"/>
        <v/>
      </c>
      <c r="G304" s="183"/>
      <c r="H304" s="183"/>
      <c r="I304" s="183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5" t="str">
        <f t="shared" si="23"/>
        <v/>
      </c>
      <c r="D305" s="138" t="str">
        <f t="shared" si="24"/>
        <v/>
      </c>
      <c r="E305" s="150"/>
      <c r="F305" s="189" t="str">
        <f t="shared" si="25"/>
        <v/>
      </c>
      <c r="G305" s="183"/>
      <c r="H305" s="183"/>
      <c r="I305" s="183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5" t="str">
        <f t="shared" si="23"/>
        <v/>
      </c>
      <c r="D306" s="138" t="str">
        <f t="shared" si="24"/>
        <v/>
      </c>
      <c r="E306" s="150"/>
      <c r="F306" s="189" t="str">
        <f t="shared" si="25"/>
        <v/>
      </c>
      <c r="G306" s="183"/>
      <c r="H306" s="183"/>
      <c r="I306" s="183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5" t="str">
        <f t="shared" si="23"/>
        <v/>
      </c>
      <c r="D307" s="138" t="str">
        <f t="shared" si="24"/>
        <v/>
      </c>
      <c r="E307" s="150"/>
      <c r="F307" s="189" t="str">
        <f t="shared" si="25"/>
        <v/>
      </c>
      <c r="G307" s="183"/>
      <c r="H307" s="183"/>
      <c r="I307" s="183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5" t="str">
        <f t="shared" si="23"/>
        <v/>
      </c>
      <c r="D308" s="138" t="str">
        <f t="shared" si="24"/>
        <v/>
      </c>
      <c r="E308" s="150"/>
      <c r="F308" s="189" t="str">
        <f t="shared" si="25"/>
        <v/>
      </c>
      <c r="G308" s="183"/>
      <c r="H308" s="183"/>
      <c r="I308" s="183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5" t="str">
        <f t="shared" si="23"/>
        <v/>
      </c>
      <c r="D309" s="138" t="str">
        <f t="shared" si="24"/>
        <v/>
      </c>
      <c r="E309" s="150"/>
      <c r="F309" s="189" t="str">
        <f t="shared" si="25"/>
        <v/>
      </c>
      <c r="G309" s="183"/>
      <c r="H309" s="183"/>
      <c r="I309" s="183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5" t="str">
        <f t="shared" si="23"/>
        <v/>
      </c>
      <c r="D310" s="138" t="str">
        <f t="shared" si="24"/>
        <v/>
      </c>
      <c r="E310" s="150"/>
      <c r="F310" s="189" t="str">
        <f t="shared" si="25"/>
        <v/>
      </c>
      <c r="G310" s="183"/>
      <c r="H310" s="183"/>
      <c r="I310" s="183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5" t="str">
        <f t="shared" si="23"/>
        <v/>
      </c>
      <c r="D311" s="138" t="str">
        <f t="shared" si="24"/>
        <v/>
      </c>
      <c r="E311" s="150"/>
      <c r="F311" s="189" t="str">
        <f t="shared" si="25"/>
        <v/>
      </c>
      <c r="G311" s="183"/>
      <c r="H311" s="183"/>
      <c r="I311" s="183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5" t="str">
        <f t="shared" si="23"/>
        <v/>
      </c>
      <c r="D312" s="138" t="str">
        <f t="shared" si="24"/>
        <v/>
      </c>
      <c r="E312" s="150"/>
      <c r="F312" s="189" t="str">
        <f t="shared" si="25"/>
        <v/>
      </c>
      <c r="G312" s="183"/>
      <c r="H312" s="183"/>
      <c r="I312" s="183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5" t="str">
        <f t="shared" si="23"/>
        <v/>
      </c>
      <c r="D313" s="138" t="str">
        <f t="shared" si="24"/>
        <v/>
      </c>
      <c r="E313" s="150"/>
      <c r="F313" s="189" t="str">
        <f t="shared" si="25"/>
        <v/>
      </c>
      <c r="G313" s="183"/>
      <c r="H313" s="183"/>
      <c r="I313" s="183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5" t="str">
        <f t="shared" si="23"/>
        <v/>
      </c>
      <c r="D314" s="138" t="str">
        <f t="shared" si="24"/>
        <v/>
      </c>
      <c r="E314" s="150"/>
      <c r="F314" s="189" t="str">
        <f t="shared" si="25"/>
        <v/>
      </c>
      <c r="G314" s="183"/>
      <c r="H314" s="183"/>
      <c r="I314" s="183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5" t="str">
        <f t="shared" si="23"/>
        <v/>
      </c>
      <c r="D315" s="138" t="str">
        <f t="shared" si="24"/>
        <v/>
      </c>
      <c r="E315" s="150"/>
      <c r="F315" s="189" t="str">
        <f t="shared" si="25"/>
        <v/>
      </c>
      <c r="G315" s="183"/>
      <c r="H315" s="183"/>
      <c r="I315" s="183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5" t="str">
        <f t="shared" si="23"/>
        <v/>
      </c>
      <c r="D316" s="138" t="str">
        <f t="shared" si="24"/>
        <v/>
      </c>
      <c r="E316" s="150"/>
      <c r="F316" s="189" t="str">
        <f t="shared" si="25"/>
        <v/>
      </c>
      <c r="G316" s="183"/>
      <c r="H316" s="183"/>
      <c r="I316" s="183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5" t="str">
        <f t="shared" si="23"/>
        <v/>
      </c>
      <c r="D317" s="138" t="str">
        <f t="shared" si="24"/>
        <v/>
      </c>
      <c r="E317" s="150"/>
      <c r="F317" s="189" t="str">
        <f t="shared" si="25"/>
        <v/>
      </c>
      <c r="G317" s="183"/>
      <c r="H317" s="183"/>
      <c r="I317" s="183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5" t="str">
        <f t="shared" si="23"/>
        <v/>
      </c>
      <c r="D318" s="138" t="str">
        <f t="shared" si="24"/>
        <v/>
      </c>
      <c r="E318" s="150"/>
      <c r="F318" s="189" t="str">
        <f t="shared" si="25"/>
        <v/>
      </c>
      <c r="G318" s="183"/>
      <c r="H318" s="183"/>
      <c r="I318" s="183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5" t="str">
        <f t="shared" si="23"/>
        <v/>
      </c>
      <c r="D319" s="138" t="str">
        <f t="shared" si="24"/>
        <v/>
      </c>
      <c r="E319" s="150"/>
      <c r="F319" s="189" t="str">
        <f t="shared" si="25"/>
        <v/>
      </c>
      <c r="G319" s="183"/>
      <c r="H319" s="183"/>
      <c r="I319" s="183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5" t="str">
        <f t="shared" si="23"/>
        <v/>
      </c>
      <c r="D320" s="138" t="str">
        <f t="shared" si="24"/>
        <v/>
      </c>
      <c r="E320" s="150"/>
      <c r="F320" s="189" t="str">
        <f t="shared" si="25"/>
        <v/>
      </c>
      <c r="G320" s="183"/>
      <c r="H320" s="183"/>
      <c r="I320" s="183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5" t="str">
        <f t="shared" si="23"/>
        <v/>
      </c>
      <c r="D321" s="138" t="str">
        <f t="shared" si="24"/>
        <v/>
      </c>
      <c r="E321" s="150"/>
      <c r="F321" s="189" t="str">
        <f t="shared" si="25"/>
        <v/>
      </c>
      <c r="G321" s="183"/>
      <c r="H321" s="183"/>
      <c r="I321" s="183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5" t="str">
        <f t="shared" si="23"/>
        <v/>
      </c>
      <c r="D322" s="138" t="str">
        <f t="shared" si="24"/>
        <v/>
      </c>
      <c r="E322" s="150"/>
      <c r="F322" s="189" t="str">
        <f t="shared" si="25"/>
        <v/>
      </c>
      <c r="G322" s="183"/>
      <c r="H322" s="183"/>
      <c r="I322" s="183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5" t="str">
        <f t="shared" si="23"/>
        <v/>
      </c>
      <c r="D323" s="138" t="str">
        <f t="shared" si="24"/>
        <v/>
      </c>
      <c r="E323" s="150"/>
      <c r="F323" s="189" t="str">
        <f t="shared" si="25"/>
        <v/>
      </c>
      <c r="G323" s="183"/>
      <c r="H323" s="183"/>
      <c r="I323" s="183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5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89" t="str">
        <f t="shared" ref="F324:F387" si="30">IFERROR(VLOOKUP(E324,$Q$6:$T$200,2,FALSE),"")</f>
        <v/>
      </c>
      <c r="G324" s="183"/>
      <c r="H324" s="183"/>
      <c r="I324" s="183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5" t="str">
        <f t="shared" si="28"/>
        <v/>
      </c>
      <c r="D325" s="138" t="str">
        <f t="shared" si="29"/>
        <v/>
      </c>
      <c r="E325" s="150"/>
      <c r="F325" s="189" t="str">
        <f t="shared" si="30"/>
        <v/>
      </c>
      <c r="G325" s="183"/>
      <c r="H325" s="183"/>
      <c r="I325" s="183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5" t="str">
        <f t="shared" si="28"/>
        <v/>
      </c>
      <c r="D326" s="138" t="str">
        <f t="shared" si="29"/>
        <v/>
      </c>
      <c r="E326" s="150"/>
      <c r="F326" s="189" t="str">
        <f t="shared" si="30"/>
        <v/>
      </c>
      <c r="G326" s="183"/>
      <c r="H326" s="183"/>
      <c r="I326" s="183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5" t="str">
        <f t="shared" si="28"/>
        <v/>
      </c>
      <c r="D327" s="138" t="str">
        <f t="shared" si="29"/>
        <v/>
      </c>
      <c r="E327" s="150"/>
      <c r="F327" s="189" t="str">
        <f t="shared" si="30"/>
        <v/>
      </c>
      <c r="G327" s="183"/>
      <c r="H327" s="183"/>
      <c r="I327" s="183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5" t="str">
        <f t="shared" si="28"/>
        <v/>
      </c>
      <c r="D328" s="138" t="str">
        <f t="shared" si="29"/>
        <v/>
      </c>
      <c r="E328" s="150"/>
      <c r="F328" s="189" t="str">
        <f t="shared" si="30"/>
        <v/>
      </c>
      <c r="G328" s="183"/>
      <c r="H328" s="183"/>
      <c r="I328" s="183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5" t="str">
        <f t="shared" si="28"/>
        <v/>
      </c>
      <c r="D329" s="138" t="str">
        <f t="shared" si="29"/>
        <v/>
      </c>
      <c r="E329" s="150"/>
      <c r="F329" s="189" t="str">
        <f t="shared" si="30"/>
        <v/>
      </c>
      <c r="G329" s="183"/>
      <c r="H329" s="183"/>
      <c r="I329" s="183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5" t="str">
        <f t="shared" si="28"/>
        <v/>
      </c>
      <c r="D330" s="138" t="str">
        <f t="shared" si="29"/>
        <v/>
      </c>
      <c r="E330" s="150"/>
      <c r="F330" s="189" t="str">
        <f t="shared" si="30"/>
        <v/>
      </c>
      <c r="G330" s="183"/>
      <c r="H330" s="183"/>
      <c r="I330" s="183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5" t="str">
        <f t="shared" si="28"/>
        <v/>
      </c>
      <c r="D331" s="138" t="str">
        <f t="shared" si="29"/>
        <v/>
      </c>
      <c r="E331" s="150"/>
      <c r="F331" s="189" t="str">
        <f t="shared" si="30"/>
        <v/>
      </c>
      <c r="G331" s="183"/>
      <c r="H331" s="183"/>
      <c r="I331" s="183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5" t="str">
        <f t="shared" si="28"/>
        <v/>
      </c>
      <c r="D332" s="138" t="str">
        <f t="shared" si="29"/>
        <v/>
      </c>
      <c r="E332" s="150"/>
      <c r="F332" s="189" t="str">
        <f t="shared" si="30"/>
        <v/>
      </c>
      <c r="G332" s="183"/>
      <c r="H332" s="183"/>
      <c r="I332" s="183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5" t="str">
        <f t="shared" si="28"/>
        <v/>
      </c>
      <c r="D333" s="138" t="str">
        <f t="shared" si="29"/>
        <v/>
      </c>
      <c r="E333" s="150"/>
      <c r="F333" s="189" t="str">
        <f t="shared" si="30"/>
        <v/>
      </c>
      <c r="G333" s="183"/>
      <c r="H333" s="183"/>
      <c r="I333" s="183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5" t="str">
        <f t="shared" si="28"/>
        <v/>
      </c>
      <c r="D334" s="138" t="str">
        <f t="shared" si="29"/>
        <v/>
      </c>
      <c r="E334" s="150"/>
      <c r="F334" s="189" t="str">
        <f t="shared" si="30"/>
        <v/>
      </c>
      <c r="G334" s="183"/>
      <c r="H334" s="183"/>
      <c r="I334" s="183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5" t="str">
        <f t="shared" si="28"/>
        <v/>
      </c>
      <c r="D335" s="138" t="str">
        <f t="shared" si="29"/>
        <v/>
      </c>
      <c r="E335" s="150"/>
      <c r="F335" s="189" t="str">
        <f t="shared" si="30"/>
        <v/>
      </c>
      <c r="G335" s="183"/>
      <c r="H335" s="183"/>
      <c r="I335" s="183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5" t="str">
        <f t="shared" si="28"/>
        <v/>
      </c>
      <c r="D336" s="138" t="str">
        <f t="shared" si="29"/>
        <v/>
      </c>
      <c r="E336" s="150"/>
      <c r="F336" s="189" t="str">
        <f t="shared" si="30"/>
        <v/>
      </c>
      <c r="G336" s="183"/>
      <c r="H336" s="183"/>
      <c r="I336" s="183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5" t="str">
        <f t="shared" si="28"/>
        <v/>
      </c>
      <c r="D337" s="138" t="str">
        <f t="shared" si="29"/>
        <v/>
      </c>
      <c r="E337" s="150"/>
      <c r="F337" s="189" t="str">
        <f t="shared" si="30"/>
        <v/>
      </c>
      <c r="G337" s="183"/>
      <c r="H337" s="183"/>
      <c r="I337" s="183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5" t="str">
        <f t="shared" si="28"/>
        <v/>
      </c>
      <c r="D338" s="138" t="str">
        <f t="shared" si="29"/>
        <v/>
      </c>
      <c r="E338" s="150"/>
      <c r="F338" s="189" t="str">
        <f t="shared" si="30"/>
        <v/>
      </c>
      <c r="G338" s="183"/>
      <c r="H338" s="183"/>
      <c r="I338" s="183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5" t="str">
        <f t="shared" si="28"/>
        <v/>
      </c>
      <c r="D339" s="138" t="str">
        <f t="shared" si="29"/>
        <v/>
      </c>
      <c r="E339" s="150"/>
      <c r="F339" s="189" t="str">
        <f t="shared" si="30"/>
        <v/>
      </c>
      <c r="G339" s="183"/>
      <c r="H339" s="183"/>
      <c r="I339" s="183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5" t="str">
        <f t="shared" si="28"/>
        <v/>
      </c>
      <c r="D340" s="138" t="str">
        <f t="shared" si="29"/>
        <v/>
      </c>
      <c r="E340" s="150"/>
      <c r="F340" s="189" t="str">
        <f t="shared" si="30"/>
        <v/>
      </c>
      <c r="G340" s="183"/>
      <c r="H340" s="183"/>
      <c r="I340" s="183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5" t="str">
        <f t="shared" si="28"/>
        <v/>
      </c>
      <c r="D341" s="138" t="str">
        <f t="shared" si="29"/>
        <v/>
      </c>
      <c r="E341" s="150"/>
      <c r="F341" s="189" t="str">
        <f t="shared" si="30"/>
        <v/>
      </c>
      <c r="G341" s="183"/>
      <c r="H341" s="183"/>
      <c r="I341" s="183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5" t="str">
        <f t="shared" si="28"/>
        <v/>
      </c>
      <c r="D342" s="138" t="str">
        <f t="shared" si="29"/>
        <v/>
      </c>
      <c r="E342" s="150"/>
      <c r="F342" s="189" t="str">
        <f t="shared" si="30"/>
        <v/>
      </c>
      <c r="G342" s="183"/>
      <c r="H342" s="183"/>
      <c r="I342" s="183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5" t="str">
        <f t="shared" si="28"/>
        <v/>
      </c>
      <c r="D343" s="138" t="str">
        <f t="shared" si="29"/>
        <v/>
      </c>
      <c r="E343" s="150"/>
      <c r="F343" s="189" t="str">
        <f t="shared" si="30"/>
        <v/>
      </c>
      <c r="G343" s="183"/>
      <c r="H343" s="183"/>
      <c r="I343" s="183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5" t="str">
        <f t="shared" si="28"/>
        <v/>
      </c>
      <c r="D344" s="138" t="str">
        <f t="shared" si="29"/>
        <v/>
      </c>
      <c r="E344" s="150"/>
      <c r="F344" s="189" t="str">
        <f t="shared" si="30"/>
        <v/>
      </c>
      <c r="G344" s="183"/>
      <c r="H344" s="183"/>
      <c r="I344" s="183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5" t="str">
        <f t="shared" si="28"/>
        <v/>
      </c>
      <c r="D345" s="138" t="str">
        <f t="shared" si="29"/>
        <v/>
      </c>
      <c r="E345" s="150"/>
      <c r="F345" s="189" t="str">
        <f t="shared" si="30"/>
        <v/>
      </c>
      <c r="G345" s="183"/>
      <c r="H345" s="183"/>
      <c r="I345" s="183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5" t="str">
        <f t="shared" si="28"/>
        <v/>
      </c>
      <c r="D346" s="138" t="str">
        <f t="shared" si="29"/>
        <v/>
      </c>
      <c r="E346" s="150"/>
      <c r="F346" s="189" t="str">
        <f t="shared" si="30"/>
        <v/>
      </c>
      <c r="G346" s="183"/>
      <c r="H346" s="183"/>
      <c r="I346" s="183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5" t="str">
        <f t="shared" si="28"/>
        <v/>
      </c>
      <c r="D347" s="138" t="str">
        <f t="shared" si="29"/>
        <v/>
      </c>
      <c r="E347" s="150"/>
      <c r="F347" s="189" t="str">
        <f t="shared" si="30"/>
        <v/>
      </c>
      <c r="G347" s="183"/>
      <c r="H347" s="183"/>
      <c r="I347" s="183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5" t="str">
        <f t="shared" si="28"/>
        <v/>
      </c>
      <c r="D348" s="138" t="str">
        <f t="shared" si="29"/>
        <v/>
      </c>
      <c r="E348" s="150"/>
      <c r="F348" s="189" t="str">
        <f t="shared" si="30"/>
        <v/>
      </c>
      <c r="G348" s="183"/>
      <c r="H348" s="183"/>
      <c r="I348" s="183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5" t="str">
        <f t="shared" si="28"/>
        <v/>
      </c>
      <c r="D349" s="138" t="str">
        <f t="shared" si="29"/>
        <v/>
      </c>
      <c r="E349" s="150"/>
      <c r="F349" s="189" t="str">
        <f t="shared" si="30"/>
        <v/>
      </c>
      <c r="G349" s="183"/>
      <c r="H349" s="183"/>
      <c r="I349" s="183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5" t="str">
        <f t="shared" si="28"/>
        <v/>
      </c>
      <c r="D350" s="138" t="str">
        <f t="shared" si="29"/>
        <v/>
      </c>
      <c r="E350" s="150"/>
      <c r="F350" s="189" t="str">
        <f t="shared" si="30"/>
        <v/>
      </c>
      <c r="G350" s="183"/>
      <c r="H350" s="183"/>
      <c r="I350" s="183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5" t="str">
        <f t="shared" si="28"/>
        <v/>
      </c>
      <c r="D351" s="138" t="str">
        <f t="shared" si="29"/>
        <v/>
      </c>
      <c r="E351" s="150"/>
      <c r="F351" s="189" t="str">
        <f t="shared" si="30"/>
        <v/>
      </c>
      <c r="G351" s="183"/>
      <c r="H351" s="183"/>
      <c r="I351" s="183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5" t="str">
        <f t="shared" si="28"/>
        <v/>
      </c>
      <c r="D352" s="138" t="str">
        <f t="shared" si="29"/>
        <v/>
      </c>
      <c r="E352" s="150"/>
      <c r="F352" s="189" t="str">
        <f t="shared" si="30"/>
        <v/>
      </c>
      <c r="G352" s="183"/>
      <c r="H352" s="183"/>
      <c r="I352" s="183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5" t="str">
        <f t="shared" si="28"/>
        <v/>
      </c>
      <c r="D353" s="138" t="str">
        <f t="shared" si="29"/>
        <v/>
      </c>
      <c r="E353" s="150"/>
      <c r="F353" s="189" t="str">
        <f t="shared" si="30"/>
        <v/>
      </c>
      <c r="G353" s="183"/>
      <c r="H353" s="183"/>
      <c r="I353" s="183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5" t="str">
        <f t="shared" si="28"/>
        <v/>
      </c>
      <c r="D354" s="138" t="str">
        <f t="shared" si="29"/>
        <v/>
      </c>
      <c r="E354" s="150"/>
      <c r="F354" s="189" t="str">
        <f t="shared" si="30"/>
        <v/>
      </c>
      <c r="G354" s="183"/>
      <c r="H354" s="183"/>
      <c r="I354" s="183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5" t="str">
        <f t="shared" si="28"/>
        <v/>
      </c>
      <c r="D355" s="138" t="str">
        <f t="shared" si="29"/>
        <v/>
      </c>
      <c r="E355" s="150"/>
      <c r="F355" s="189" t="str">
        <f t="shared" si="30"/>
        <v/>
      </c>
      <c r="G355" s="183"/>
      <c r="H355" s="183"/>
      <c r="I355" s="183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5" t="str">
        <f t="shared" si="28"/>
        <v/>
      </c>
      <c r="D356" s="138" t="str">
        <f t="shared" si="29"/>
        <v/>
      </c>
      <c r="E356" s="150"/>
      <c r="F356" s="189" t="str">
        <f t="shared" si="30"/>
        <v/>
      </c>
      <c r="G356" s="183"/>
      <c r="H356" s="183"/>
      <c r="I356" s="183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5" t="str">
        <f t="shared" si="28"/>
        <v/>
      </c>
      <c r="D357" s="138" t="str">
        <f t="shared" si="29"/>
        <v/>
      </c>
      <c r="E357" s="150"/>
      <c r="F357" s="189" t="str">
        <f t="shared" si="30"/>
        <v/>
      </c>
      <c r="G357" s="183"/>
      <c r="H357" s="183"/>
      <c r="I357" s="183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5" t="str">
        <f t="shared" si="28"/>
        <v/>
      </c>
      <c r="D358" s="138" t="str">
        <f t="shared" si="29"/>
        <v/>
      </c>
      <c r="E358" s="150"/>
      <c r="F358" s="189" t="str">
        <f t="shared" si="30"/>
        <v/>
      </c>
      <c r="G358" s="183"/>
      <c r="H358" s="183"/>
      <c r="I358" s="183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5" t="str">
        <f t="shared" si="28"/>
        <v/>
      </c>
      <c r="D359" s="138" t="str">
        <f t="shared" si="29"/>
        <v/>
      </c>
      <c r="E359" s="150"/>
      <c r="F359" s="189" t="str">
        <f t="shared" si="30"/>
        <v/>
      </c>
      <c r="G359" s="183"/>
      <c r="H359" s="183"/>
      <c r="I359" s="183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5" t="str">
        <f t="shared" si="28"/>
        <v/>
      </c>
      <c r="D360" s="138" t="str">
        <f t="shared" si="29"/>
        <v/>
      </c>
      <c r="E360" s="150"/>
      <c r="F360" s="189" t="str">
        <f t="shared" si="30"/>
        <v/>
      </c>
      <c r="G360" s="183"/>
      <c r="H360" s="183"/>
      <c r="I360" s="183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5" t="str">
        <f t="shared" si="28"/>
        <v/>
      </c>
      <c r="D361" s="138" t="str">
        <f t="shared" si="29"/>
        <v/>
      </c>
      <c r="E361" s="150"/>
      <c r="F361" s="189" t="str">
        <f t="shared" si="30"/>
        <v/>
      </c>
      <c r="G361" s="183"/>
      <c r="H361" s="183"/>
      <c r="I361" s="183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5" t="str">
        <f t="shared" si="28"/>
        <v/>
      </c>
      <c r="D362" s="138" t="str">
        <f t="shared" si="29"/>
        <v/>
      </c>
      <c r="E362" s="150"/>
      <c r="F362" s="189" t="str">
        <f t="shared" si="30"/>
        <v/>
      </c>
      <c r="G362" s="183"/>
      <c r="H362" s="183"/>
      <c r="I362" s="183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5" t="str">
        <f t="shared" si="28"/>
        <v/>
      </c>
      <c r="D363" s="138" t="str">
        <f t="shared" si="29"/>
        <v/>
      </c>
      <c r="E363" s="150"/>
      <c r="F363" s="189" t="str">
        <f t="shared" si="30"/>
        <v/>
      </c>
      <c r="G363" s="183"/>
      <c r="H363" s="183"/>
      <c r="I363" s="183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5" t="str">
        <f t="shared" si="28"/>
        <v/>
      </c>
      <c r="D364" s="138" t="str">
        <f t="shared" si="29"/>
        <v/>
      </c>
      <c r="E364" s="150"/>
      <c r="F364" s="189" t="str">
        <f t="shared" si="30"/>
        <v/>
      </c>
      <c r="G364" s="183"/>
      <c r="H364" s="183"/>
      <c r="I364" s="183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5" t="str">
        <f t="shared" si="28"/>
        <v/>
      </c>
      <c r="D365" s="138" t="str">
        <f t="shared" si="29"/>
        <v/>
      </c>
      <c r="E365" s="150"/>
      <c r="F365" s="189" t="str">
        <f t="shared" si="30"/>
        <v/>
      </c>
      <c r="G365" s="183"/>
      <c r="H365" s="183"/>
      <c r="I365" s="183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5" t="str">
        <f t="shared" si="28"/>
        <v/>
      </c>
      <c r="D366" s="138" t="str">
        <f t="shared" si="29"/>
        <v/>
      </c>
      <c r="E366" s="150"/>
      <c r="F366" s="189" t="str">
        <f t="shared" si="30"/>
        <v/>
      </c>
      <c r="G366" s="183"/>
      <c r="H366" s="183"/>
      <c r="I366" s="183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5" t="str">
        <f t="shared" si="28"/>
        <v/>
      </c>
      <c r="D367" s="138" t="str">
        <f t="shared" si="29"/>
        <v/>
      </c>
      <c r="E367" s="150"/>
      <c r="F367" s="189" t="str">
        <f t="shared" si="30"/>
        <v/>
      </c>
      <c r="G367" s="183"/>
      <c r="H367" s="183"/>
      <c r="I367" s="183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5" t="str">
        <f t="shared" si="28"/>
        <v/>
      </c>
      <c r="D368" s="138" t="str">
        <f t="shared" si="29"/>
        <v/>
      </c>
      <c r="E368" s="150"/>
      <c r="F368" s="189" t="str">
        <f t="shared" si="30"/>
        <v/>
      </c>
      <c r="G368" s="183"/>
      <c r="H368" s="183"/>
      <c r="I368" s="183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5" t="str">
        <f t="shared" si="28"/>
        <v/>
      </c>
      <c r="D369" s="138" t="str">
        <f t="shared" si="29"/>
        <v/>
      </c>
      <c r="E369" s="150"/>
      <c r="F369" s="189" t="str">
        <f t="shared" si="30"/>
        <v/>
      </c>
      <c r="G369" s="183"/>
      <c r="H369" s="183"/>
      <c r="I369" s="183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5" t="str">
        <f t="shared" si="28"/>
        <v/>
      </c>
      <c r="D370" s="138" t="str">
        <f t="shared" si="29"/>
        <v/>
      </c>
      <c r="E370" s="150"/>
      <c r="F370" s="189" t="str">
        <f t="shared" si="30"/>
        <v/>
      </c>
      <c r="G370" s="183"/>
      <c r="H370" s="183"/>
      <c r="I370" s="183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5" t="str">
        <f t="shared" si="28"/>
        <v/>
      </c>
      <c r="D371" s="138" t="str">
        <f t="shared" si="29"/>
        <v/>
      </c>
      <c r="E371" s="150"/>
      <c r="F371" s="189" t="str">
        <f t="shared" si="30"/>
        <v/>
      </c>
      <c r="G371" s="183"/>
      <c r="H371" s="183"/>
      <c r="I371" s="183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5" t="str">
        <f t="shared" si="28"/>
        <v/>
      </c>
      <c r="D372" s="138" t="str">
        <f t="shared" si="29"/>
        <v/>
      </c>
      <c r="E372" s="150"/>
      <c r="F372" s="189" t="str">
        <f t="shared" si="30"/>
        <v/>
      </c>
      <c r="G372" s="183"/>
      <c r="H372" s="183"/>
      <c r="I372" s="183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5" t="str">
        <f t="shared" si="28"/>
        <v/>
      </c>
      <c r="D373" s="138" t="str">
        <f t="shared" si="29"/>
        <v/>
      </c>
      <c r="E373" s="150"/>
      <c r="F373" s="189" t="str">
        <f t="shared" si="30"/>
        <v/>
      </c>
      <c r="G373" s="183"/>
      <c r="H373" s="183"/>
      <c r="I373" s="183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5" t="str">
        <f t="shared" si="28"/>
        <v/>
      </c>
      <c r="D374" s="138" t="str">
        <f t="shared" si="29"/>
        <v/>
      </c>
      <c r="E374" s="150"/>
      <c r="F374" s="189" t="str">
        <f t="shared" si="30"/>
        <v/>
      </c>
      <c r="G374" s="183"/>
      <c r="H374" s="183"/>
      <c r="I374" s="183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5" t="str">
        <f t="shared" si="28"/>
        <v/>
      </c>
      <c r="D375" s="138" t="str">
        <f t="shared" si="29"/>
        <v/>
      </c>
      <c r="E375" s="150"/>
      <c r="F375" s="189" t="str">
        <f t="shared" si="30"/>
        <v/>
      </c>
      <c r="G375" s="183"/>
      <c r="H375" s="183"/>
      <c r="I375" s="183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5" t="str">
        <f t="shared" si="28"/>
        <v/>
      </c>
      <c r="D376" s="138" t="str">
        <f t="shared" si="29"/>
        <v/>
      </c>
      <c r="E376" s="150"/>
      <c r="F376" s="189" t="str">
        <f t="shared" si="30"/>
        <v/>
      </c>
      <c r="G376" s="183"/>
      <c r="H376" s="183"/>
      <c r="I376" s="183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5" t="str">
        <f t="shared" si="28"/>
        <v/>
      </c>
      <c r="D377" s="138" t="str">
        <f t="shared" si="29"/>
        <v/>
      </c>
      <c r="E377" s="150"/>
      <c r="F377" s="189" t="str">
        <f t="shared" si="30"/>
        <v/>
      </c>
      <c r="G377" s="183"/>
      <c r="H377" s="183"/>
      <c r="I377" s="183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5" t="str">
        <f t="shared" si="28"/>
        <v/>
      </c>
      <c r="D378" s="138" t="str">
        <f t="shared" si="29"/>
        <v/>
      </c>
      <c r="E378" s="150"/>
      <c r="F378" s="189" t="str">
        <f t="shared" si="30"/>
        <v/>
      </c>
      <c r="G378" s="183"/>
      <c r="H378" s="183"/>
      <c r="I378" s="183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5" t="str">
        <f t="shared" si="28"/>
        <v/>
      </c>
      <c r="D379" s="138" t="str">
        <f t="shared" si="29"/>
        <v/>
      </c>
      <c r="E379" s="150"/>
      <c r="F379" s="189" t="str">
        <f t="shared" si="30"/>
        <v/>
      </c>
      <c r="G379" s="183"/>
      <c r="H379" s="183"/>
      <c r="I379" s="183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5" t="str">
        <f t="shared" si="28"/>
        <v/>
      </c>
      <c r="D380" s="138" t="str">
        <f t="shared" si="29"/>
        <v/>
      </c>
      <c r="E380" s="150"/>
      <c r="F380" s="189" t="str">
        <f t="shared" si="30"/>
        <v/>
      </c>
      <c r="G380" s="183"/>
      <c r="H380" s="183"/>
      <c r="I380" s="183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5" t="str">
        <f t="shared" si="28"/>
        <v/>
      </c>
      <c r="D381" s="138" t="str">
        <f t="shared" si="29"/>
        <v/>
      </c>
      <c r="E381" s="150"/>
      <c r="F381" s="189" t="str">
        <f t="shared" si="30"/>
        <v/>
      </c>
      <c r="G381" s="183"/>
      <c r="H381" s="183"/>
      <c r="I381" s="183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5" t="str">
        <f t="shared" si="28"/>
        <v/>
      </c>
      <c r="D382" s="138" t="str">
        <f t="shared" si="29"/>
        <v/>
      </c>
      <c r="E382" s="150"/>
      <c r="F382" s="189" t="str">
        <f t="shared" si="30"/>
        <v/>
      </c>
      <c r="G382" s="183"/>
      <c r="H382" s="183"/>
      <c r="I382" s="183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5" t="str">
        <f t="shared" si="28"/>
        <v/>
      </c>
      <c r="D383" s="138" t="str">
        <f t="shared" si="29"/>
        <v/>
      </c>
      <c r="E383" s="150"/>
      <c r="F383" s="189" t="str">
        <f t="shared" si="30"/>
        <v/>
      </c>
      <c r="G383" s="183"/>
      <c r="H383" s="183"/>
      <c r="I383" s="183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5" t="str">
        <f t="shared" si="28"/>
        <v/>
      </c>
      <c r="D384" s="138" t="str">
        <f t="shared" si="29"/>
        <v/>
      </c>
      <c r="E384" s="150"/>
      <c r="F384" s="189" t="str">
        <f t="shared" si="30"/>
        <v/>
      </c>
      <c r="G384" s="183"/>
      <c r="H384" s="183"/>
      <c r="I384" s="183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5" t="str">
        <f t="shared" si="28"/>
        <v/>
      </c>
      <c r="D385" s="138" t="str">
        <f t="shared" si="29"/>
        <v/>
      </c>
      <c r="E385" s="150"/>
      <c r="F385" s="189" t="str">
        <f t="shared" si="30"/>
        <v/>
      </c>
      <c r="G385" s="183"/>
      <c r="H385" s="183"/>
      <c r="I385" s="183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5" t="str">
        <f t="shared" si="28"/>
        <v/>
      </c>
      <c r="D386" s="138" t="str">
        <f t="shared" si="29"/>
        <v/>
      </c>
      <c r="E386" s="150"/>
      <c r="F386" s="189" t="str">
        <f t="shared" si="30"/>
        <v/>
      </c>
      <c r="G386" s="183"/>
      <c r="H386" s="183"/>
      <c r="I386" s="183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5" t="str">
        <f t="shared" si="28"/>
        <v/>
      </c>
      <c r="D387" s="138" t="str">
        <f t="shared" si="29"/>
        <v/>
      </c>
      <c r="E387" s="150"/>
      <c r="F387" s="189" t="str">
        <f t="shared" si="30"/>
        <v/>
      </c>
      <c r="G387" s="183"/>
      <c r="H387" s="183"/>
      <c r="I387" s="183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5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89" t="str">
        <f t="shared" ref="F388:F451" si="35">IFERROR(VLOOKUP(E388,$Q$6:$T$200,2,FALSE),"")</f>
        <v/>
      </c>
      <c r="G388" s="183"/>
      <c r="H388" s="183"/>
      <c r="I388" s="183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5" t="str">
        <f t="shared" si="33"/>
        <v/>
      </c>
      <c r="D389" s="138" t="str">
        <f t="shared" si="34"/>
        <v/>
      </c>
      <c r="E389" s="150"/>
      <c r="F389" s="189" t="str">
        <f t="shared" si="35"/>
        <v/>
      </c>
      <c r="G389" s="183"/>
      <c r="H389" s="183"/>
      <c r="I389" s="183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5" t="str">
        <f t="shared" si="33"/>
        <v/>
      </c>
      <c r="D390" s="138" t="str">
        <f t="shared" si="34"/>
        <v/>
      </c>
      <c r="E390" s="150"/>
      <c r="F390" s="189" t="str">
        <f t="shared" si="35"/>
        <v/>
      </c>
      <c r="G390" s="183"/>
      <c r="H390" s="183"/>
      <c r="I390" s="183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5" t="str">
        <f t="shared" si="33"/>
        <v/>
      </c>
      <c r="D391" s="138" t="str">
        <f t="shared" si="34"/>
        <v/>
      </c>
      <c r="E391" s="150"/>
      <c r="F391" s="189" t="str">
        <f t="shared" si="35"/>
        <v/>
      </c>
      <c r="G391" s="183"/>
      <c r="H391" s="183"/>
      <c r="I391" s="183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5" t="str">
        <f t="shared" si="33"/>
        <v/>
      </c>
      <c r="D392" s="138" t="str">
        <f t="shared" si="34"/>
        <v/>
      </c>
      <c r="E392" s="150"/>
      <c r="F392" s="189" t="str">
        <f t="shared" si="35"/>
        <v/>
      </c>
      <c r="G392" s="183"/>
      <c r="H392" s="183"/>
      <c r="I392" s="183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5" t="str">
        <f t="shared" si="33"/>
        <v/>
      </c>
      <c r="D393" s="138" t="str">
        <f t="shared" si="34"/>
        <v/>
      </c>
      <c r="E393" s="150"/>
      <c r="F393" s="189" t="str">
        <f t="shared" si="35"/>
        <v/>
      </c>
      <c r="G393" s="183"/>
      <c r="H393" s="183"/>
      <c r="I393" s="183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5" t="str">
        <f t="shared" si="33"/>
        <v/>
      </c>
      <c r="D394" s="138" t="str">
        <f t="shared" si="34"/>
        <v/>
      </c>
      <c r="E394" s="150"/>
      <c r="F394" s="189" t="str">
        <f t="shared" si="35"/>
        <v/>
      </c>
      <c r="G394" s="183"/>
      <c r="H394" s="183"/>
      <c r="I394" s="183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5" t="str">
        <f t="shared" si="33"/>
        <v/>
      </c>
      <c r="D395" s="138" t="str">
        <f t="shared" si="34"/>
        <v/>
      </c>
      <c r="E395" s="150"/>
      <c r="F395" s="189" t="str">
        <f t="shared" si="35"/>
        <v/>
      </c>
      <c r="G395" s="183"/>
      <c r="H395" s="183"/>
      <c r="I395" s="183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5" t="str">
        <f t="shared" si="33"/>
        <v/>
      </c>
      <c r="D396" s="138" t="str">
        <f t="shared" si="34"/>
        <v/>
      </c>
      <c r="E396" s="150"/>
      <c r="F396" s="189" t="str">
        <f t="shared" si="35"/>
        <v/>
      </c>
      <c r="G396" s="183"/>
      <c r="H396" s="183"/>
      <c r="I396" s="183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5" t="str">
        <f t="shared" si="33"/>
        <v/>
      </c>
      <c r="D397" s="138" t="str">
        <f t="shared" si="34"/>
        <v/>
      </c>
      <c r="E397" s="150"/>
      <c r="F397" s="189" t="str">
        <f t="shared" si="35"/>
        <v/>
      </c>
      <c r="G397" s="183"/>
      <c r="H397" s="183"/>
      <c r="I397" s="183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5" t="str">
        <f t="shared" si="33"/>
        <v/>
      </c>
      <c r="D398" s="138" t="str">
        <f t="shared" si="34"/>
        <v/>
      </c>
      <c r="E398" s="150"/>
      <c r="F398" s="189" t="str">
        <f t="shared" si="35"/>
        <v/>
      </c>
      <c r="G398" s="183"/>
      <c r="H398" s="183"/>
      <c r="I398" s="183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5" t="str">
        <f t="shared" si="33"/>
        <v/>
      </c>
      <c r="D399" s="138" t="str">
        <f t="shared" si="34"/>
        <v/>
      </c>
      <c r="E399" s="150"/>
      <c r="F399" s="189" t="str">
        <f t="shared" si="35"/>
        <v/>
      </c>
      <c r="G399" s="183"/>
      <c r="H399" s="183"/>
      <c r="I399" s="183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5" t="str">
        <f t="shared" si="33"/>
        <v/>
      </c>
      <c r="D400" s="138" t="str">
        <f t="shared" si="34"/>
        <v/>
      </c>
      <c r="E400" s="150"/>
      <c r="F400" s="189" t="str">
        <f t="shared" si="35"/>
        <v/>
      </c>
      <c r="G400" s="183"/>
      <c r="H400" s="183"/>
      <c r="I400" s="183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5" t="str">
        <f t="shared" si="33"/>
        <v/>
      </c>
      <c r="D401" s="138" t="str">
        <f t="shared" si="34"/>
        <v/>
      </c>
      <c r="E401" s="150"/>
      <c r="F401" s="189" t="str">
        <f t="shared" si="35"/>
        <v/>
      </c>
      <c r="G401" s="183"/>
      <c r="H401" s="183"/>
      <c r="I401" s="183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5" t="str">
        <f t="shared" si="33"/>
        <v/>
      </c>
      <c r="D402" s="138" t="str">
        <f t="shared" si="34"/>
        <v/>
      </c>
      <c r="E402" s="150"/>
      <c r="F402" s="189" t="str">
        <f t="shared" si="35"/>
        <v/>
      </c>
      <c r="G402" s="183"/>
      <c r="H402" s="183"/>
      <c r="I402" s="183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5" t="str">
        <f t="shared" si="33"/>
        <v/>
      </c>
      <c r="D403" s="138" t="str">
        <f t="shared" si="34"/>
        <v/>
      </c>
      <c r="E403" s="150"/>
      <c r="F403" s="189" t="str">
        <f t="shared" si="35"/>
        <v/>
      </c>
      <c r="G403" s="183"/>
      <c r="H403" s="183"/>
      <c r="I403" s="183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5" t="str">
        <f t="shared" si="33"/>
        <v/>
      </c>
      <c r="D404" s="138" t="str">
        <f t="shared" si="34"/>
        <v/>
      </c>
      <c r="E404" s="150"/>
      <c r="F404" s="189" t="str">
        <f t="shared" si="35"/>
        <v/>
      </c>
      <c r="G404" s="183"/>
      <c r="H404" s="183"/>
      <c r="I404" s="183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5" t="str">
        <f t="shared" si="33"/>
        <v/>
      </c>
      <c r="D405" s="138" t="str">
        <f t="shared" si="34"/>
        <v/>
      </c>
      <c r="E405" s="150"/>
      <c r="F405" s="189" t="str">
        <f t="shared" si="35"/>
        <v/>
      </c>
      <c r="G405" s="183"/>
      <c r="H405" s="183"/>
      <c r="I405" s="183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5" t="str">
        <f t="shared" si="33"/>
        <v/>
      </c>
      <c r="D406" s="138" t="str">
        <f t="shared" si="34"/>
        <v/>
      </c>
      <c r="E406" s="150"/>
      <c r="F406" s="189" t="str">
        <f t="shared" si="35"/>
        <v/>
      </c>
      <c r="G406" s="183"/>
      <c r="H406" s="183"/>
      <c r="I406" s="183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5" t="str">
        <f t="shared" si="33"/>
        <v/>
      </c>
      <c r="D407" s="138" t="str">
        <f t="shared" si="34"/>
        <v/>
      </c>
      <c r="E407" s="150"/>
      <c r="F407" s="189" t="str">
        <f t="shared" si="35"/>
        <v/>
      </c>
      <c r="G407" s="183"/>
      <c r="H407" s="183"/>
      <c r="I407" s="183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5" t="str">
        <f t="shared" si="33"/>
        <v/>
      </c>
      <c r="D408" s="138" t="str">
        <f t="shared" si="34"/>
        <v/>
      </c>
      <c r="E408" s="150"/>
      <c r="F408" s="189" t="str">
        <f t="shared" si="35"/>
        <v/>
      </c>
      <c r="G408" s="183"/>
      <c r="H408" s="183"/>
      <c r="I408" s="183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5" t="str">
        <f t="shared" si="33"/>
        <v/>
      </c>
      <c r="D409" s="138" t="str">
        <f t="shared" si="34"/>
        <v/>
      </c>
      <c r="E409" s="150"/>
      <c r="F409" s="189" t="str">
        <f t="shared" si="35"/>
        <v/>
      </c>
      <c r="G409" s="183"/>
      <c r="H409" s="183"/>
      <c r="I409" s="183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5" t="str">
        <f t="shared" si="33"/>
        <v/>
      </c>
      <c r="D410" s="138" t="str">
        <f t="shared" si="34"/>
        <v/>
      </c>
      <c r="E410" s="150"/>
      <c r="F410" s="189" t="str">
        <f t="shared" si="35"/>
        <v/>
      </c>
      <c r="G410" s="183"/>
      <c r="H410" s="183"/>
      <c r="I410" s="183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5" t="str">
        <f t="shared" si="33"/>
        <v/>
      </c>
      <c r="D411" s="138" t="str">
        <f t="shared" si="34"/>
        <v/>
      </c>
      <c r="E411" s="150"/>
      <c r="F411" s="189" t="str">
        <f t="shared" si="35"/>
        <v/>
      </c>
      <c r="G411" s="183"/>
      <c r="H411" s="183"/>
      <c r="I411" s="183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5" t="str">
        <f t="shared" si="33"/>
        <v/>
      </c>
      <c r="D412" s="138" t="str">
        <f t="shared" si="34"/>
        <v/>
      </c>
      <c r="E412" s="150"/>
      <c r="F412" s="189" t="str">
        <f t="shared" si="35"/>
        <v/>
      </c>
      <c r="G412" s="183"/>
      <c r="H412" s="183"/>
      <c r="I412" s="183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5" t="str">
        <f t="shared" si="33"/>
        <v/>
      </c>
      <c r="D413" s="138" t="str">
        <f t="shared" si="34"/>
        <v/>
      </c>
      <c r="E413" s="150"/>
      <c r="F413" s="189" t="str">
        <f t="shared" si="35"/>
        <v/>
      </c>
      <c r="G413" s="183"/>
      <c r="H413" s="183"/>
      <c r="I413" s="183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5" t="str">
        <f t="shared" si="33"/>
        <v/>
      </c>
      <c r="D414" s="138" t="str">
        <f t="shared" si="34"/>
        <v/>
      </c>
      <c r="E414" s="150"/>
      <c r="F414" s="189" t="str">
        <f t="shared" si="35"/>
        <v/>
      </c>
      <c r="G414" s="183"/>
      <c r="H414" s="183"/>
      <c r="I414" s="183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5" t="str">
        <f t="shared" si="33"/>
        <v/>
      </c>
      <c r="D415" s="138" t="str">
        <f t="shared" si="34"/>
        <v/>
      </c>
      <c r="E415" s="150"/>
      <c r="F415" s="189" t="str">
        <f t="shared" si="35"/>
        <v/>
      </c>
      <c r="G415" s="183"/>
      <c r="H415" s="183"/>
      <c r="I415" s="183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5" t="str">
        <f t="shared" si="33"/>
        <v/>
      </c>
      <c r="D416" s="138" t="str">
        <f t="shared" si="34"/>
        <v/>
      </c>
      <c r="E416" s="150"/>
      <c r="F416" s="189" t="str">
        <f t="shared" si="35"/>
        <v/>
      </c>
      <c r="G416" s="183"/>
      <c r="H416" s="183"/>
      <c r="I416" s="183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5" t="str">
        <f t="shared" si="33"/>
        <v/>
      </c>
      <c r="D417" s="138" t="str">
        <f t="shared" si="34"/>
        <v/>
      </c>
      <c r="E417" s="150"/>
      <c r="F417" s="189" t="str">
        <f t="shared" si="35"/>
        <v/>
      </c>
      <c r="G417" s="183"/>
      <c r="H417" s="183"/>
      <c r="I417" s="183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5" t="str">
        <f t="shared" si="33"/>
        <v/>
      </c>
      <c r="D418" s="138" t="str">
        <f t="shared" si="34"/>
        <v/>
      </c>
      <c r="E418" s="150"/>
      <c r="F418" s="189" t="str">
        <f t="shared" si="35"/>
        <v/>
      </c>
      <c r="G418" s="183"/>
      <c r="H418" s="183"/>
      <c r="I418" s="183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5" t="str">
        <f t="shared" si="33"/>
        <v/>
      </c>
      <c r="D419" s="138" t="str">
        <f t="shared" si="34"/>
        <v/>
      </c>
      <c r="E419" s="150"/>
      <c r="F419" s="189" t="str">
        <f t="shared" si="35"/>
        <v/>
      </c>
      <c r="G419" s="183"/>
      <c r="H419" s="183"/>
      <c r="I419" s="183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5" t="str">
        <f t="shared" si="33"/>
        <v/>
      </c>
      <c r="D420" s="138" t="str">
        <f t="shared" si="34"/>
        <v/>
      </c>
      <c r="E420" s="150"/>
      <c r="F420" s="189" t="str">
        <f t="shared" si="35"/>
        <v/>
      </c>
      <c r="G420" s="183"/>
      <c r="H420" s="183"/>
      <c r="I420" s="183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5" t="str">
        <f t="shared" si="33"/>
        <v/>
      </c>
      <c r="D421" s="138" t="str">
        <f t="shared" si="34"/>
        <v/>
      </c>
      <c r="E421" s="150"/>
      <c r="F421" s="189" t="str">
        <f t="shared" si="35"/>
        <v/>
      </c>
      <c r="G421" s="183"/>
      <c r="H421" s="183"/>
      <c r="I421" s="183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5" t="str">
        <f t="shared" si="33"/>
        <v/>
      </c>
      <c r="D422" s="138" t="str">
        <f t="shared" si="34"/>
        <v/>
      </c>
      <c r="E422" s="150"/>
      <c r="F422" s="189" t="str">
        <f t="shared" si="35"/>
        <v/>
      </c>
      <c r="G422" s="183"/>
      <c r="H422" s="183"/>
      <c r="I422" s="183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5" t="str">
        <f t="shared" si="33"/>
        <v/>
      </c>
      <c r="D423" s="138" t="str">
        <f t="shared" si="34"/>
        <v/>
      </c>
      <c r="E423" s="150"/>
      <c r="F423" s="189" t="str">
        <f t="shared" si="35"/>
        <v/>
      </c>
      <c r="G423" s="183"/>
      <c r="H423" s="183"/>
      <c r="I423" s="183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5" t="str">
        <f t="shared" si="33"/>
        <v/>
      </c>
      <c r="D424" s="138" t="str">
        <f t="shared" si="34"/>
        <v/>
      </c>
      <c r="E424" s="150"/>
      <c r="F424" s="189" t="str">
        <f t="shared" si="35"/>
        <v/>
      </c>
      <c r="G424" s="183"/>
      <c r="H424" s="183"/>
      <c r="I424" s="183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5" t="str">
        <f t="shared" si="33"/>
        <v/>
      </c>
      <c r="D425" s="138" t="str">
        <f t="shared" si="34"/>
        <v/>
      </c>
      <c r="E425" s="150"/>
      <c r="F425" s="189" t="str">
        <f t="shared" si="35"/>
        <v/>
      </c>
      <c r="G425" s="183"/>
      <c r="H425" s="183"/>
      <c r="I425" s="183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5" t="str">
        <f t="shared" si="33"/>
        <v/>
      </c>
      <c r="D426" s="138" t="str">
        <f t="shared" si="34"/>
        <v/>
      </c>
      <c r="E426" s="150"/>
      <c r="F426" s="189" t="str">
        <f t="shared" si="35"/>
        <v/>
      </c>
      <c r="G426" s="183"/>
      <c r="H426" s="183"/>
      <c r="I426" s="183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5" t="str">
        <f t="shared" si="33"/>
        <v/>
      </c>
      <c r="D427" s="138" t="str">
        <f t="shared" si="34"/>
        <v/>
      </c>
      <c r="E427" s="150"/>
      <c r="F427" s="189" t="str">
        <f t="shared" si="35"/>
        <v/>
      </c>
      <c r="G427" s="183"/>
      <c r="H427" s="183"/>
      <c r="I427" s="183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5" t="str">
        <f t="shared" si="33"/>
        <v/>
      </c>
      <c r="D428" s="138" t="str">
        <f t="shared" si="34"/>
        <v/>
      </c>
      <c r="E428" s="150"/>
      <c r="F428" s="189" t="str">
        <f t="shared" si="35"/>
        <v/>
      </c>
      <c r="G428" s="183"/>
      <c r="H428" s="183"/>
      <c r="I428" s="183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5" t="str">
        <f t="shared" si="33"/>
        <v/>
      </c>
      <c r="D429" s="138" t="str">
        <f t="shared" si="34"/>
        <v/>
      </c>
      <c r="E429" s="150"/>
      <c r="F429" s="189" t="str">
        <f t="shared" si="35"/>
        <v/>
      </c>
      <c r="G429" s="183"/>
      <c r="H429" s="183"/>
      <c r="I429" s="183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5" t="str">
        <f t="shared" si="33"/>
        <v/>
      </c>
      <c r="D430" s="138" t="str">
        <f t="shared" si="34"/>
        <v/>
      </c>
      <c r="E430" s="150"/>
      <c r="F430" s="189" t="str">
        <f t="shared" si="35"/>
        <v/>
      </c>
      <c r="G430" s="183"/>
      <c r="H430" s="183"/>
      <c r="I430" s="183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5" t="str">
        <f t="shared" si="33"/>
        <v/>
      </c>
      <c r="D431" s="138" t="str">
        <f t="shared" si="34"/>
        <v/>
      </c>
      <c r="E431" s="150"/>
      <c r="F431" s="189" t="str">
        <f t="shared" si="35"/>
        <v/>
      </c>
      <c r="G431" s="183"/>
      <c r="H431" s="183"/>
      <c r="I431" s="183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5" t="str">
        <f t="shared" si="33"/>
        <v/>
      </c>
      <c r="D432" s="138" t="str">
        <f t="shared" si="34"/>
        <v/>
      </c>
      <c r="E432" s="150"/>
      <c r="F432" s="189" t="str">
        <f t="shared" si="35"/>
        <v/>
      </c>
      <c r="G432" s="183"/>
      <c r="H432" s="183"/>
      <c r="I432" s="183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5" t="str">
        <f t="shared" si="33"/>
        <v/>
      </c>
      <c r="D433" s="138" t="str">
        <f t="shared" si="34"/>
        <v/>
      </c>
      <c r="E433" s="150"/>
      <c r="F433" s="189" t="str">
        <f t="shared" si="35"/>
        <v/>
      </c>
      <c r="G433" s="183"/>
      <c r="H433" s="183"/>
      <c r="I433" s="183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5" t="str">
        <f t="shared" si="33"/>
        <v/>
      </c>
      <c r="D434" s="138" t="str">
        <f t="shared" si="34"/>
        <v/>
      </c>
      <c r="E434" s="150"/>
      <c r="F434" s="189" t="str">
        <f t="shared" si="35"/>
        <v/>
      </c>
      <c r="G434" s="183"/>
      <c r="H434" s="183"/>
      <c r="I434" s="183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5" t="str">
        <f t="shared" si="33"/>
        <v/>
      </c>
      <c r="D435" s="138" t="str">
        <f t="shared" si="34"/>
        <v/>
      </c>
      <c r="E435" s="150"/>
      <c r="F435" s="189" t="str">
        <f t="shared" si="35"/>
        <v/>
      </c>
      <c r="G435" s="183"/>
      <c r="H435" s="183"/>
      <c r="I435" s="183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5" t="str">
        <f t="shared" si="33"/>
        <v/>
      </c>
      <c r="D436" s="138" t="str">
        <f t="shared" si="34"/>
        <v/>
      </c>
      <c r="E436" s="150"/>
      <c r="F436" s="189" t="str">
        <f t="shared" si="35"/>
        <v/>
      </c>
      <c r="G436" s="183"/>
      <c r="H436" s="183"/>
      <c r="I436" s="183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5" t="str">
        <f t="shared" si="33"/>
        <v/>
      </c>
      <c r="D437" s="138" t="str">
        <f t="shared" si="34"/>
        <v/>
      </c>
      <c r="E437" s="150"/>
      <c r="F437" s="189" t="str">
        <f t="shared" si="35"/>
        <v/>
      </c>
      <c r="G437" s="183"/>
      <c r="H437" s="183"/>
      <c r="I437" s="183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5" t="str">
        <f t="shared" si="33"/>
        <v/>
      </c>
      <c r="D438" s="138" t="str">
        <f t="shared" si="34"/>
        <v/>
      </c>
      <c r="E438" s="150"/>
      <c r="F438" s="189" t="str">
        <f t="shared" si="35"/>
        <v/>
      </c>
      <c r="G438" s="183"/>
      <c r="H438" s="183"/>
      <c r="I438" s="183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5" t="str">
        <f t="shared" si="33"/>
        <v/>
      </c>
      <c r="D439" s="138" t="str">
        <f t="shared" si="34"/>
        <v/>
      </c>
      <c r="E439" s="150"/>
      <c r="F439" s="189" t="str">
        <f t="shared" si="35"/>
        <v/>
      </c>
      <c r="G439" s="183"/>
      <c r="H439" s="183"/>
      <c r="I439" s="183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5" t="str">
        <f t="shared" si="33"/>
        <v/>
      </c>
      <c r="D440" s="138" t="str">
        <f t="shared" si="34"/>
        <v/>
      </c>
      <c r="E440" s="150"/>
      <c r="F440" s="189" t="str">
        <f t="shared" si="35"/>
        <v/>
      </c>
      <c r="G440" s="183"/>
      <c r="H440" s="183"/>
      <c r="I440" s="183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5" t="str">
        <f t="shared" si="33"/>
        <v/>
      </c>
      <c r="D441" s="138" t="str">
        <f t="shared" si="34"/>
        <v/>
      </c>
      <c r="E441" s="150"/>
      <c r="F441" s="189" t="str">
        <f t="shared" si="35"/>
        <v/>
      </c>
      <c r="G441" s="183"/>
      <c r="H441" s="183"/>
      <c r="I441" s="183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5" t="str">
        <f t="shared" si="33"/>
        <v/>
      </c>
      <c r="D442" s="138" t="str">
        <f t="shared" si="34"/>
        <v/>
      </c>
      <c r="E442" s="150"/>
      <c r="F442" s="189" t="str">
        <f t="shared" si="35"/>
        <v/>
      </c>
      <c r="G442" s="183"/>
      <c r="H442" s="183"/>
      <c r="I442" s="183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5" t="str">
        <f t="shared" si="33"/>
        <v/>
      </c>
      <c r="D443" s="138" t="str">
        <f t="shared" si="34"/>
        <v/>
      </c>
      <c r="E443" s="150"/>
      <c r="F443" s="189" t="str">
        <f t="shared" si="35"/>
        <v/>
      </c>
      <c r="G443" s="183"/>
      <c r="H443" s="183"/>
      <c r="I443" s="183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5" t="str">
        <f t="shared" si="33"/>
        <v/>
      </c>
      <c r="D444" s="138" t="str">
        <f t="shared" si="34"/>
        <v/>
      </c>
      <c r="E444" s="150"/>
      <c r="F444" s="189" t="str">
        <f t="shared" si="35"/>
        <v/>
      </c>
      <c r="G444" s="183"/>
      <c r="H444" s="183"/>
      <c r="I444" s="183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5" t="str">
        <f t="shared" si="33"/>
        <v/>
      </c>
      <c r="D445" s="138" t="str">
        <f t="shared" si="34"/>
        <v/>
      </c>
      <c r="E445" s="150"/>
      <c r="F445" s="189" t="str">
        <f t="shared" si="35"/>
        <v/>
      </c>
      <c r="G445" s="183"/>
      <c r="H445" s="183"/>
      <c r="I445" s="183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5" t="str">
        <f t="shared" si="33"/>
        <v/>
      </c>
      <c r="D446" s="138" t="str">
        <f t="shared" si="34"/>
        <v/>
      </c>
      <c r="E446" s="150"/>
      <c r="F446" s="189" t="str">
        <f t="shared" si="35"/>
        <v/>
      </c>
      <c r="G446" s="183"/>
      <c r="H446" s="183"/>
      <c r="I446" s="183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5" t="str">
        <f t="shared" si="33"/>
        <v/>
      </c>
      <c r="D447" s="138" t="str">
        <f t="shared" si="34"/>
        <v/>
      </c>
      <c r="E447" s="150"/>
      <c r="F447" s="189" t="str">
        <f t="shared" si="35"/>
        <v/>
      </c>
      <c r="G447" s="183"/>
      <c r="H447" s="183"/>
      <c r="I447" s="183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5" t="str">
        <f t="shared" si="33"/>
        <v/>
      </c>
      <c r="D448" s="138" t="str">
        <f t="shared" si="34"/>
        <v/>
      </c>
      <c r="E448" s="150"/>
      <c r="F448" s="189" t="str">
        <f t="shared" si="35"/>
        <v/>
      </c>
      <c r="G448" s="183"/>
      <c r="H448" s="183"/>
      <c r="I448" s="183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5" t="str">
        <f t="shared" si="33"/>
        <v/>
      </c>
      <c r="D449" s="138" t="str">
        <f t="shared" si="34"/>
        <v/>
      </c>
      <c r="E449" s="150"/>
      <c r="F449" s="189" t="str">
        <f t="shared" si="35"/>
        <v/>
      </c>
      <c r="G449" s="183"/>
      <c r="H449" s="183"/>
      <c r="I449" s="183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5" t="str">
        <f t="shared" si="33"/>
        <v/>
      </c>
      <c r="D450" s="138" t="str">
        <f t="shared" si="34"/>
        <v/>
      </c>
      <c r="E450" s="150"/>
      <c r="F450" s="189" t="str">
        <f t="shared" si="35"/>
        <v/>
      </c>
      <c r="G450" s="183"/>
      <c r="H450" s="183"/>
      <c r="I450" s="183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5" t="str">
        <f t="shared" si="33"/>
        <v/>
      </c>
      <c r="D451" s="138" t="str">
        <f t="shared" si="34"/>
        <v/>
      </c>
      <c r="E451" s="150"/>
      <c r="F451" s="189" t="str">
        <f t="shared" si="35"/>
        <v/>
      </c>
      <c r="G451" s="183"/>
      <c r="H451" s="183"/>
      <c r="I451" s="183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5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89" t="str">
        <f t="shared" ref="F452:F501" si="40">IFERROR(VLOOKUP(E452,$Q$6:$T$200,2,FALSE),"")</f>
        <v/>
      </c>
      <c r="G452" s="183"/>
      <c r="H452" s="183"/>
      <c r="I452" s="183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5" t="str">
        <f t="shared" si="38"/>
        <v/>
      </c>
      <c r="D453" s="138" t="str">
        <f t="shared" si="39"/>
        <v/>
      </c>
      <c r="E453" s="150"/>
      <c r="F453" s="189" t="str">
        <f t="shared" si="40"/>
        <v/>
      </c>
      <c r="G453" s="183"/>
      <c r="H453" s="183"/>
      <c r="I453" s="183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5" t="str">
        <f t="shared" si="38"/>
        <v/>
      </c>
      <c r="D454" s="138" t="str">
        <f t="shared" si="39"/>
        <v/>
      </c>
      <c r="E454" s="150"/>
      <c r="F454" s="189" t="str">
        <f t="shared" si="40"/>
        <v/>
      </c>
      <c r="G454" s="183"/>
      <c r="H454" s="183"/>
      <c r="I454" s="183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5" t="str">
        <f t="shared" si="38"/>
        <v/>
      </c>
      <c r="D455" s="138" t="str">
        <f t="shared" si="39"/>
        <v/>
      </c>
      <c r="E455" s="150"/>
      <c r="F455" s="189" t="str">
        <f t="shared" si="40"/>
        <v/>
      </c>
      <c r="G455" s="183"/>
      <c r="H455" s="183"/>
      <c r="I455" s="183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5" t="str">
        <f t="shared" si="38"/>
        <v/>
      </c>
      <c r="D456" s="138" t="str">
        <f t="shared" si="39"/>
        <v/>
      </c>
      <c r="E456" s="150"/>
      <c r="F456" s="189" t="str">
        <f t="shared" si="40"/>
        <v/>
      </c>
      <c r="G456" s="183"/>
      <c r="H456" s="183"/>
      <c r="I456" s="183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5" t="str">
        <f t="shared" si="38"/>
        <v/>
      </c>
      <c r="D457" s="138" t="str">
        <f t="shared" si="39"/>
        <v/>
      </c>
      <c r="E457" s="150"/>
      <c r="F457" s="189" t="str">
        <f t="shared" si="40"/>
        <v/>
      </c>
      <c r="G457" s="183"/>
      <c r="H457" s="183"/>
      <c r="I457" s="183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5" t="str">
        <f t="shared" si="38"/>
        <v/>
      </c>
      <c r="D458" s="138" t="str">
        <f t="shared" si="39"/>
        <v/>
      </c>
      <c r="E458" s="150"/>
      <c r="F458" s="189" t="str">
        <f t="shared" si="40"/>
        <v/>
      </c>
      <c r="G458" s="183"/>
      <c r="H458" s="183"/>
      <c r="I458" s="183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5" t="str">
        <f t="shared" si="38"/>
        <v/>
      </c>
      <c r="D459" s="138" t="str">
        <f t="shared" si="39"/>
        <v/>
      </c>
      <c r="E459" s="150"/>
      <c r="F459" s="189" t="str">
        <f t="shared" si="40"/>
        <v/>
      </c>
      <c r="G459" s="183"/>
      <c r="H459" s="183"/>
      <c r="I459" s="183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5" t="str">
        <f t="shared" si="38"/>
        <v/>
      </c>
      <c r="D460" s="138" t="str">
        <f t="shared" si="39"/>
        <v/>
      </c>
      <c r="E460" s="150"/>
      <c r="F460" s="189" t="str">
        <f t="shared" si="40"/>
        <v/>
      </c>
      <c r="G460" s="183"/>
      <c r="H460" s="183"/>
      <c r="I460" s="183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5" t="str">
        <f t="shared" si="38"/>
        <v/>
      </c>
      <c r="D461" s="138" t="str">
        <f t="shared" si="39"/>
        <v/>
      </c>
      <c r="E461" s="150"/>
      <c r="F461" s="189" t="str">
        <f t="shared" si="40"/>
        <v/>
      </c>
      <c r="G461" s="183"/>
      <c r="H461" s="183"/>
      <c r="I461" s="183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5" t="str">
        <f t="shared" si="38"/>
        <v/>
      </c>
      <c r="D462" s="138" t="str">
        <f t="shared" si="39"/>
        <v/>
      </c>
      <c r="E462" s="150"/>
      <c r="F462" s="189" t="str">
        <f t="shared" si="40"/>
        <v/>
      </c>
      <c r="G462" s="183"/>
      <c r="H462" s="183"/>
      <c r="I462" s="183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5" t="str">
        <f t="shared" si="38"/>
        <v/>
      </c>
      <c r="D463" s="138" t="str">
        <f t="shared" si="39"/>
        <v/>
      </c>
      <c r="E463" s="150"/>
      <c r="F463" s="189" t="str">
        <f t="shared" si="40"/>
        <v/>
      </c>
      <c r="G463" s="183"/>
      <c r="H463" s="183"/>
      <c r="I463" s="183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5" t="str">
        <f t="shared" si="38"/>
        <v/>
      </c>
      <c r="D464" s="138" t="str">
        <f t="shared" si="39"/>
        <v/>
      </c>
      <c r="E464" s="150"/>
      <c r="F464" s="189" t="str">
        <f t="shared" si="40"/>
        <v/>
      </c>
      <c r="G464" s="183"/>
      <c r="H464" s="183"/>
      <c r="I464" s="183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5" t="str">
        <f t="shared" si="38"/>
        <v/>
      </c>
      <c r="D465" s="138" t="str">
        <f t="shared" si="39"/>
        <v/>
      </c>
      <c r="E465" s="150"/>
      <c r="F465" s="189" t="str">
        <f t="shared" si="40"/>
        <v/>
      </c>
      <c r="G465" s="183"/>
      <c r="H465" s="183"/>
      <c r="I465" s="183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5" t="str">
        <f t="shared" si="38"/>
        <v/>
      </c>
      <c r="D466" s="138" t="str">
        <f t="shared" si="39"/>
        <v/>
      </c>
      <c r="E466" s="150"/>
      <c r="F466" s="189" t="str">
        <f t="shared" si="40"/>
        <v/>
      </c>
      <c r="G466" s="183"/>
      <c r="H466" s="183"/>
      <c r="I466" s="183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5" t="str">
        <f t="shared" si="38"/>
        <v/>
      </c>
      <c r="D467" s="138" t="str">
        <f t="shared" si="39"/>
        <v/>
      </c>
      <c r="E467" s="150"/>
      <c r="F467" s="189" t="str">
        <f t="shared" si="40"/>
        <v/>
      </c>
      <c r="G467" s="183"/>
      <c r="H467" s="183"/>
      <c r="I467" s="183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5" t="str">
        <f t="shared" si="38"/>
        <v/>
      </c>
      <c r="D468" s="138" t="str">
        <f t="shared" si="39"/>
        <v/>
      </c>
      <c r="E468" s="150"/>
      <c r="F468" s="189" t="str">
        <f t="shared" si="40"/>
        <v/>
      </c>
      <c r="G468" s="183"/>
      <c r="H468" s="183"/>
      <c r="I468" s="183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5" t="str">
        <f t="shared" si="38"/>
        <v/>
      </c>
      <c r="D469" s="138" t="str">
        <f t="shared" si="39"/>
        <v/>
      </c>
      <c r="E469" s="150"/>
      <c r="F469" s="189" t="str">
        <f t="shared" si="40"/>
        <v/>
      </c>
      <c r="G469" s="183"/>
      <c r="H469" s="183"/>
      <c r="I469" s="183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5" t="str">
        <f t="shared" si="38"/>
        <v/>
      </c>
      <c r="D470" s="138" t="str">
        <f t="shared" si="39"/>
        <v/>
      </c>
      <c r="E470" s="150"/>
      <c r="F470" s="189" t="str">
        <f t="shared" si="40"/>
        <v/>
      </c>
      <c r="G470" s="183"/>
      <c r="H470" s="183"/>
      <c r="I470" s="183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5" t="str">
        <f t="shared" si="38"/>
        <v/>
      </c>
      <c r="D471" s="138" t="str">
        <f t="shared" si="39"/>
        <v/>
      </c>
      <c r="E471" s="150"/>
      <c r="F471" s="189" t="str">
        <f t="shared" si="40"/>
        <v/>
      </c>
      <c r="G471" s="183"/>
      <c r="H471" s="183"/>
      <c r="I471" s="183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5" t="str">
        <f t="shared" si="38"/>
        <v/>
      </c>
      <c r="D472" s="138" t="str">
        <f t="shared" si="39"/>
        <v/>
      </c>
      <c r="E472" s="150"/>
      <c r="F472" s="189" t="str">
        <f t="shared" si="40"/>
        <v/>
      </c>
      <c r="G472" s="183"/>
      <c r="H472" s="183"/>
      <c r="I472" s="183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5" t="str">
        <f t="shared" si="38"/>
        <v/>
      </c>
      <c r="D473" s="138" t="str">
        <f t="shared" si="39"/>
        <v/>
      </c>
      <c r="E473" s="150"/>
      <c r="F473" s="189" t="str">
        <f t="shared" si="40"/>
        <v/>
      </c>
      <c r="G473" s="183"/>
      <c r="H473" s="183"/>
      <c r="I473" s="183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5" t="str">
        <f t="shared" si="38"/>
        <v/>
      </c>
      <c r="D474" s="138" t="str">
        <f t="shared" si="39"/>
        <v/>
      </c>
      <c r="E474" s="150"/>
      <c r="F474" s="189" t="str">
        <f t="shared" si="40"/>
        <v/>
      </c>
      <c r="G474" s="183"/>
      <c r="H474" s="183"/>
      <c r="I474" s="183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5" t="str">
        <f t="shared" si="38"/>
        <v/>
      </c>
      <c r="D475" s="138" t="str">
        <f t="shared" si="39"/>
        <v/>
      </c>
      <c r="E475" s="150"/>
      <c r="F475" s="189" t="str">
        <f t="shared" si="40"/>
        <v/>
      </c>
      <c r="G475" s="183"/>
      <c r="H475" s="183"/>
      <c r="I475" s="183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5" t="str">
        <f t="shared" si="38"/>
        <v/>
      </c>
      <c r="D476" s="138" t="str">
        <f t="shared" si="39"/>
        <v/>
      </c>
      <c r="E476" s="150"/>
      <c r="F476" s="189" t="str">
        <f t="shared" si="40"/>
        <v/>
      </c>
      <c r="G476" s="183"/>
      <c r="H476" s="183"/>
      <c r="I476" s="183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5" t="str">
        <f t="shared" si="38"/>
        <v/>
      </c>
      <c r="D477" s="138" t="str">
        <f t="shared" si="39"/>
        <v/>
      </c>
      <c r="E477" s="150"/>
      <c r="F477" s="189" t="str">
        <f t="shared" si="40"/>
        <v/>
      </c>
      <c r="G477" s="183"/>
      <c r="H477" s="183"/>
      <c r="I477" s="183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5" t="str">
        <f t="shared" si="38"/>
        <v/>
      </c>
      <c r="D478" s="138" t="str">
        <f t="shared" si="39"/>
        <v/>
      </c>
      <c r="E478" s="150"/>
      <c r="F478" s="189" t="str">
        <f t="shared" si="40"/>
        <v/>
      </c>
      <c r="G478" s="183"/>
      <c r="H478" s="183"/>
      <c r="I478" s="183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5" t="str">
        <f t="shared" si="38"/>
        <v/>
      </c>
      <c r="D479" s="138" t="str">
        <f t="shared" si="39"/>
        <v/>
      </c>
      <c r="E479" s="150"/>
      <c r="F479" s="189" t="str">
        <f t="shared" si="40"/>
        <v/>
      </c>
      <c r="G479" s="183"/>
      <c r="H479" s="183"/>
      <c r="I479" s="183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5" t="str">
        <f t="shared" si="38"/>
        <v/>
      </c>
      <c r="D480" s="138" t="str">
        <f t="shared" si="39"/>
        <v/>
      </c>
      <c r="E480" s="150"/>
      <c r="F480" s="189" t="str">
        <f t="shared" si="40"/>
        <v/>
      </c>
      <c r="G480" s="183"/>
      <c r="H480" s="183"/>
      <c r="I480" s="183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5" t="str">
        <f t="shared" si="38"/>
        <v/>
      </c>
      <c r="D481" s="138" t="str">
        <f t="shared" si="39"/>
        <v/>
      </c>
      <c r="E481" s="150"/>
      <c r="F481" s="189" t="str">
        <f t="shared" si="40"/>
        <v/>
      </c>
      <c r="G481" s="183"/>
      <c r="H481" s="183"/>
      <c r="I481" s="183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5" t="str">
        <f t="shared" si="38"/>
        <v/>
      </c>
      <c r="D482" s="138" t="str">
        <f t="shared" si="39"/>
        <v/>
      </c>
      <c r="E482" s="150"/>
      <c r="F482" s="189" t="str">
        <f t="shared" si="40"/>
        <v/>
      </c>
      <c r="G482" s="183"/>
      <c r="H482" s="183"/>
      <c r="I482" s="183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5" t="str">
        <f t="shared" si="38"/>
        <v/>
      </c>
      <c r="D483" s="138" t="str">
        <f t="shared" si="39"/>
        <v/>
      </c>
      <c r="E483" s="150"/>
      <c r="F483" s="189" t="str">
        <f t="shared" si="40"/>
        <v/>
      </c>
      <c r="G483" s="183"/>
      <c r="H483" s="183"/>
      <c r="I483" s="183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5" t="str">
        <f t="shared" si="38"/>
        <v/>
      </c>
      <c r="D484" s="138" t="str">
        <f t="shared" si="39"/>
        <v/>
      </c>
      <c r="E484" s="150"/>
      <c r="F484" s="189" t="str">
        <f t="shared" si="40"/>
        <v/>
      </c>
      <c r="G484" s="183"/>
      <c r="H484" s="183"/>
      <c r="I484" s="183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5" t="str">
        <f t="shared" si="38"/>
        <v/>
      </c>
      <c r="D485" s="138" t="str">
        <f t="shared" si="39"/>
        <v/>
      </c>
      <c r="E485" s="150"/>
      <c r="F485" s="189" t="str">
        <f t="shared" si="40"/>
        <v/>
      </c>
      <c r="G485" s="183"/>
      <c r="H485" s="183"/>
      <c r="I485" s="183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5" t="str">
        <f t="shared" si="38"/>
        <v/>
      </c>
      <c r="D486" s="138" t="str">
        <f t="shared" si="39"/>
        <v/>
      </c>
      <c r="E486" s="150"/>
      <c r="F486" s="189" t="str">
        <f t="shared" si="40"/>
        <v/>
      </c>
      <c r="G486" s="183"/>
      <c r="H486" s="183"/>
      <c r="I486" s="183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5" t="str">
        <f t="shared" si="38"/>
        <v/>
      </c>
      <c r="D487" s="138" t="str">
        <f t="shared" si="39"/>
        <v/>
      </c>
      <c r="E487" s="150"/>
      <c r="F487" s="189" t="str">
        <f t="shared" si="40"/>
        <v/>
      </c>
      <c r="G487" s="183"/>
      <c r="H487" s="183"/>
      <c r="I487" s="183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5" t="str">
        <f t="shared" si="38"/>
        <v/>
      </c>
      <c r="D488" s="138" t="str">
        <f t="shared" si="39"/>
        <v/>
      </c>
      <c r="E488" s="150"/>
      <c r="F488" s="189" t="str">
        <f t="shared" si="40"/>
        <v/>
      </c>
      <c r="G488" s="183"/>
      <c r="H488" s="183"/>
      <c r="I488" s="183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5" t="str">
        <f t="shared" si="38"/>
        <v/>
      </c>
      <c r="D489" s="138" t="str">
        <f t="shared" si="39"/>
        <v/>
      </c>
      <c r="E489" s="150"/>
      <c r="F489" s="189" t="str">
        <f t="shared" si="40"/>
        <v/>
      </c>
      <c r="G489" s="183"/>
      <c r="H489" s="183"/>
      <c r="I489" s="183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5" t="str">
        <f t="shared" si="38"/>
        <v/>
      </c>
      <c r="D490" s="138" t="str">
        <f t="shared" si="39"/>
        <v/>
      </c>
      <c r="E490" s="150"/>
      <c r="F490" s="189" t="str">
        <f t="shared" si="40"/>
        <v/>
      </c>
      <c r="G490" s="183"/>
      <c r="H490" s="183"/>
      <c r="I490" s="183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5" t="str">
        <f t="shared" si="38"/>
        <v/>
      </c>
      <c r="D491" s="138" t="str">
        <f t="shared" si="39"/>
        <v/>
      </c>
      <c r="E491" s="150"/>
      <c r="F491" s="189" t="str">
        <f t="shared" si="40"/>
        <v/>
      </c>
      <c r="G491" s="183"/>
      <c r="H491" s="183"/>
      <c r="I491" s="183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5" t="str">
        <f t="shared" si="38"/>
        <v/>
      </c>
      <c r="D492" s="138" t="str">
        <f t="shared" si="39"/>
        <v/>
      </c>
      <c r="E492" s="150"/>
      <c r="F492" s="189" t="str">
        <f t="shared" si="40"/>
        <v/>
      </c>
      <c r="G492" s="183"/>
      <c r="H492" s="183"/>
      <c r="I492" s="183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5" t="str">
        <f t="shared" si="38"/>
        <v/>
      </c>
      <c r="D493" s="138" t="str">
        <f t="shared" si="39"/>
        <v/>
      </c>
      <c r="E493" s="150"/>
      <c r="F493" s="189" t="str">
        <f t="shared" si="40"/>
        <v/>
      </c>
      <c r="G493" s="183"/>
      <c r="H493" s="183"/>
      <c r="I493" s="183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5" t="str">
        <f t="shared" si="38"/>
        <v/>
      </c>
      <c r="D494" s="138" t="str">
        <f t="shared" si="39"/>
        <v/>
      </c>
      <c r="E494" s="150"/>
      <c r="F494" s="189" t="str">
        <f t="shared" si="40"/>
        <v/>
      </c>
      <c r="G494" s="183"/>
      <c r="H494" s="183"/>
      <c r="I494" s="183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5" t="str">
        <f t="shared" si="38"/>
        <v/>
      </c>
      <c r="D495" s="138" t="str">
        <f t="shared" si="39"/>
        <v/>
      </c>
      <c r="E495" s="150"/>
      <c r="F495" s="189" t="str">
        <f t="shared" si="40"/>
        <v/>
      </c>
      <c r="G495" s="183"/>
      <c r="H495" s="183"/>
      <c r="I495" s="183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5" t="str">
        <f t="shared" si="38"/>
        <v/>
      </c>
      <c r="D496" s="138" t="str">
        <f t="shared" si="39"/>
        <v/>
      </c>
      <c r="E496" s="150"/>
      <c r="F496" s="189" t="str">
        <f t="shared" si="40"/>
        <v/>
      </c>
      <c r="G496" s="183"/>
      <c r="H496" s="183"/>
      <c r="I496" s="183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5" t="str">
        <f t="shared" si="38"/>
        <v/>
      </c>
      <c r="D497" s="138" t="str">
        <f t="shared" si="39"/>
        <v/>
      </c>
      <c r="E497" s="150"/>
      <c r="F497" s="189" t="str">
        <f t="shared" si="40"/>
        <v/>
      </c>
      <c r="G497" s="183"/>
      <c r="H497" s="183"/>
      <c r="I497" s="183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5" t="str">
        <f t="shared" si="38"/>
        <v/>
      </c>
      <c r="D498" s="138" t="str">
        <f t="shared" si="39"/>
        <v/>
      </c>
      <c r="E498" s="150"/>
      <c r="F498" s="189" t="str">
        <f t="shared" si="40"/>
        <v/>
      </c>
      <c r="G498" s="183"/>
      <c r="H498" s="183"/>
      <c r="I498" s="183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5" t="str">
        <f t="shared" si="38"/>
        <v/>
      </c>
      <c r="D499" s="138" t="str">
        <f t="shared" si="39"/>
        <v/>
      </c>
      <c r="E499" s="150"/>
      <c r="F499" s="189" t="str">
        <f t="shared" si="40"/>
        <v/>
      </c>
      <c r="G499" s="183"/>
      <c r="H499" s="183"/>
      <c r="I499" s="183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5" t="str">
        <f t="shared" si="38"/>
        <v/>
      </c>
      <c r="D500" s="138" t="str">
        <f t="shared" si="39"/>
        <v/>
      </c>
      <c r="E500" s="150"/>
      <c r="F500" s="189" t="str">
        <f t="shared" si="40"/>
        <v/>
      </c>
      <c r="G500" s="183"/>
      <c r="H500" s="183"/>
      <c r="I500" s="183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5" t="str">
        <f t="shared" si="38"/>
        <v/>
      </c>
      <c r="D501" s="138" t="str">
        <f t="shared" si="39"/>
        <v/>
      </c>
      <c r="E501" s="150"/>
      <c r="F501" s="189" t="str">
        <f t="shared" si="40"/>
        <v/>
      </c>
      <c r="G501" s="183"/>
      <c r="H501" s="183"/>
      <c r="I501" s="183"/>
      <c r="K501" s="141" t="str">
        <f t="shared" si="41"/>
        <v/>
      </c>
      <c r="L501" s="141" t="str">
        <f t="shared" si="42"/>
        <v/>
      </c>
    </row>
    <row r="502" spans="1:12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opLeftCell="F1" zoomScaleNormal="100" workbookViewId="0">
      <pane ySplit="2" topLeftCell="A69" activePane="bottomLeft" state="frozen"/>
      <selection pane="bottomLeft" activeCell="J89" sqref="J89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0" t="s">
        <v>717</v>
      </c>
      <c r="B1" s="290"/>
      <c r="C1" s="290"/>
      <c r="D1" s="290"/>
      <c r="E1" s="188" t="str">
        <f>IF('Opći dio'!C3="odaberite -","Molimo odaberite proračunskog korisnika na radnom listu Opći podaci!","")</f>
        <v/>
      </c>
    </row>
    <row r="2" spans="1:25" ht="36" customHeight="1">
      <c r="A2" s="143" t="s">
        <v>582</v>
      </c>
      <c r="B2" s="143" t="s">
        <v>583</v>
      </c>
      <c r="C2" s="148" t="s">
        <v>718</v>
      </c>
      <c r="D2" s="143" t="s">
        <v>585</v>
      </c>
      <c r="E2" s="148" t="s">
        <v>586</v>
      </c>
      <c r="F2" s="143" t="s">
        <v>587</v>
      </c>
      <c r="G2" s="148" t="s">
        <v>719</v>
      </c>
      <c r="H2" s="143" t="s">
        <v>720</v>
      </c>
      <c r="I2" s="190" t="s">
        <v>48</v>
      </c>
      <c r="J2" s="190" t="s">
        <v>49</v>
      </c>
      <c r="K2" s="190" t="s">
        <v>50</v>
      </c>
      <c r="M2" s="144" t="s">
        <v>588</v>
      </c>
      <c r="N2" s="144" t="s">
        <v>589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4" t="s">
        <v>836</v>
      </c>
      <c r="H3" s="146" t="str">
        <f t="shared" ref="H3" si="2">IFERROR(VLOOKUP(G3,$X$6:$Y$200,2,FALSE),"")</f>
        <v>REDOVNA DJELATNOST SVEUČILIŠTA U RIJECI</v>
      </c>
      <c r="I3" s="183">
        <v>12338200</v>
      </c>
      <c r="J3" s="183">
        <v>12732440</v>
      </c>
      <c r="K3" s="183">
        <v>12796010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4" t="s">
        <v>836</v>
      </c>
      <c r="H4" s="146" t="str">
        <f t="shared" ref="H4:H67" si="5">IFERROR(VLOOKUP(G4,$X$6:$Y$200,2,FALSE),"")</f>
        <v>REDOVNA DJELATNOST SVEUČILIŠTA U RIJECI</v>
      </c>
      <c r="I4" s="183">
        <v>310430</v>
      </c>
      <c r="J4" s="183">
        <v>320350</v>
      </c>
      <c r="K4" s="183">
        <v>321950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4" t="s">
        <v>836</v>
      </c>
      <c r="H5" s="146" t="str">
        <f t="shared" si="5"/>
        <v>REDOVNA DJELATNOST SVEUČILIŠTA U RIJECI</v>
      </c>
      <c r="I5" s="183">
        <v>2035820</v>
      </c>
      <c r="J5" s="183">
        <v>2100870</v>
      </c>
      <c r="K5" s="183">
        <v>2111360</v>
      </c>
      <c r="M5" s="141" t="str">
        <f t="shared" si="6"/>
        <v>313</v>
      </c>
      <c r="N5" s="141" t="str">
        <f t="shared" si="7"/>
        <v>31</v>
      </c>
      <c r="O5" s="141" t="s">
        <v>584</v>
      </c>
      <c r="P5" s="141" t="s">
        <v>585</v>
      </c>
      <c r="R5" s="141">
        <v>3111</v>
      </c>
      <c r="S5" s="141" t="s">
        <v>721</v>
      </c>
      <c r="U5" s="141" t="str">
        <f>LEFT(R5,2)</f>
        <v>31</v>
      </c>
      <c r="V5" s="141" t="str">
        <f>LEFT(R5,3)</f>
        <v>311</v>
      </c>
      <c r="X5" s="141" t="s">
        <v>722</v>
      </c>
      <c r="Y5" s="141" t="s">
        <v>720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4" t="s">
        <v>836</v>
      </c>
      <c r="H6" s="146" t="str">
        <f t="shared" si="5"/>
        <v>REDOVNA DJELATNOST SVEUČILIŠTA U RIJECI</v>
      </c>
      <c r="I6" s="183">
        <v>228430</v>
      </c>
      <c r="J6" s="183">
        <v>235730</v>
      </c>
      <c r="K6" s="183">
        <v>236910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597</v>
      </c>
      <c r="R6" s="141">
        <v>3112</v>
      </c>
      <c r="S6" s="141" t="s">
        <v>723</v>
      </c>
      <c r="U6" s="141" t="str">
        <f>LEFT(R6,2)</f>
        <v>31</v>
      </c>
      <c r="V6" s="141" t="str">
        <f>LEFT(R6,3)</f>
        <v>311</v>
      </c>
      <c r="X6" s="141" t="s">
        <v>724</v>
      </c>
      <c r="Y6" s="141" t="s">
        <v>724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4" t="s">
        <v>836</v>
      </c>
      <c r="H7" s="146" t="str">
        <f t="shared" si="5"/>
        <v>REDOVNA DJELATNOST SVEUČILIŠTA U RIJECI</v>
      </c>
      <c r="I7" s="183">
        <v>15000</v>
      </c>
      <c r="J7" s="183">
        <v>15500</v>
      </c>
      <c r="K7" s="183">
        <v>15580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599</v>
      </c>
      <c r="R7" s="141">
        <v>3113</v>
      </c>
      <c r="S7" s="141" t="s">
        <v>725</v>
      </c>
      <c r="U7" s="141" t="str">
        <f>LEFT(R7,2)</f>
        <v>31</v>
      </c>
      <c r="V7" s="141" t="str">
        <f>LEFT(R7,3)</f>
        <v>311</v>
      </c>
      <c r="X7" t="s">
        <v>726</v>
      </c>
      <c r="Y7" t="s">
        <v>727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4" t="s">
        <v>836</v>
      </c>
      <c r="H8" s="146" t="str">
        <f t="shared" si="5"/>
        <v>REDOVNA DJELATNOST SVEUČILIŠTA U RIJECI</v>
      </c>
      <c r="I8" s="183">
        <v>24100</v>
      </c>
      <c r="J8" s="183">
        <v>24870</v>
      </c>
      <c r="K8" s="183">
        <v>24990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600</v>
      </c>
      <c r="R8" s="141">
        <v>3114</v>
      </c>
      <c r="S8" s="141" t="s">
        <v>728</v>
      </c>
      <c r="U8" s="141" t="str">
        <f>LEFT(R8,2)</f>
        <v>31</v>
      </c>
      <c r="V8" s="141" t="str">
        <f>LEFT(R8,3)</f>
        <v>311</v>
      </c>
      <c r="X8" t="s">
        <v>729</v>
      </c>
      <c r="Y8" t="s">
        <v>730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3213</v>
      </c>
      <c r="F9" s="146" t="str">
        <f t="shared" si="4"/>
        <v>Stručno usavršavanje zaposlenika</v>
      </c>
      <c r="G9" s="184" t="s">
        <v>869</v>
      </c>
      <c r="H9" s="146" t="str">
        <f t="shared" si="5"/>
        <v>PROGRAMSKO FINANCIRANJE JAVNIH VISOKIH UČILIŠTA</v>
      </c>
      <c r="I9" s="183">
        <v>10000</v>
      </c>
      <c r="J9" s="183">
        <v>10000</v>
      </c>
      <c r="K9" s="183">
        <v>10000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602</v>
      </c>
      <c r="R9" s="141">
        <v>3121</v>
      </c>
      <c r="S9" s="141" t="s">
        <v>731</v>
      </c>
      <c r="U9" s="141" t="str">
        <f>LEFT(R9,2)</f>
        <v>31</v>
      </c>
      <c r="V9" s="141" t="str">
        <f>LEFT(R9,3)</f>
        <v>312</v>
      </c>
      <c r="X9" t="s">
        <v>732</v>
      </c>
      <c r="Y9" t="s">
        <v>733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3221</v>
      </c>
      <c r="F10" s="146" t="str">
        <f t="shared" si="4"/>
        <v>Uredski materijal i ostali materijalni rashodi</v>
      </c>
      <c r="G10" s="184" t="s">
        <v>869</v>
      </c>
      <c r="H10" s="146" t="str">
        <f t="shared" si="5"/>
        <v>PROGRAMSKO FINANCIRANJE JAVNIH VISOKIH UČILIŠTA</v>
      </c>
      <c r="I10" s="183">
        <v>100000</v>
      </c>
      <c r="J10" s="183">
        <v>100000</v>
      </c>
      <c r="K10" s="183">
        <v>100000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604</v>
      </c>
      <c r="R10" s="193">
        <v>3132</v>
      </c>
      <c r="S10" s="193" t="s">
        <v>734</v>
      </c>
      <c r="T10" s="193"/>
      <c r="U10" s="193" t="str">
        <f t="shared" ref="U10:U41" si="8">LEFT(R10,2)</f>
        <v>31</v>
      </c>
      <c r="V10" s="193" t="str">
        <f t="shared" ref="V10:V41" si="9">LEFT(R10,3)</f>
        <v>313</v>
      </c>
      <c r="X10" t="s">
        <v>735</v>
      </c>
      <c r="Y10" t="s">
        <v>736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3223</v>
      </c>
      <c r="F11" s="146" t="str">
        <f t="shared" si="4"/>
        <v>Energija</v>
      </c>
      <c r="G11" s="184" t="s">
        <v>869</v>
      </c>
      <c r="H11" s="146" t="str">
        <f t="shared" si="5"/>
        <v>PROGRAMSKO FINANCIRANJE JAVNIH VISOKIH UČILIŠTA</v>
      </c>
      <c r="I11" s="183">
        <v>670000</v>
      </c>
      <c r="J11" s="183">
        <v>670000</v>
      </c>
      <c r="K11" s="183">
        <v>670000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606</v>
      </c>
      <c r="R11" s="141">
        <v>3211</v>
      </c>
      <c r="S11" s="141" t="s">
        <v>737</v>
      </c>
      <c r="U11" s="141" t="str">
        <f t="shared" si="8"/>
        <v>32</v>
      </c>
      <c r="V11" s="141" t="str">
        <f t="shared" si="9"/>
        <v>321</v>
      </c>
      <c r="X11" t="s">
        <v>738</v>
      </c>
      <c r="Y11" t="s">
        <v>739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3224</v>
      </c>
      <c r="F12" s="146" t="str">
        <f t="shared" si="4"/>
        <v>Materijal i dijelovi za tekuće i investicijsko održavanje</v>
      </c>
      <c r="G12" s="184" t="s">
        <v>869</v>
      </c>
      <c r="H12" s="146" t="str">
        <f t="shared" si="5"/>
        <v>PROGRAMSKO FINANCIRANJE JAVNIH VISOKIH UČILIŠTA</v>
      </c>
      <c r="I12" s="183">
        <v>5000</v>
      </c>
      <c r="J12" s="183">
        <v>5000</v>
      </c>
      <c r="K12" s="183">
        <v>5000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608</v>
      </c>
      <c r="R12" s="141">
        <v>3212</v>
      </c>
      <c r="S12" s="141" t="s">
        <v>740</v>
      </c>
      <c r="U12" s="141" t="str">
        <f t="shared" si="8"/>
        <v>32</v>
      </c>
      <c r="V12" s="141" t="str">
        <f t="shared" si="9"/>
        <v>321</v>
      </c>
      <c r="X12" t="s">
        <v>741</v>
      </c>
      <c r="Y12" t="s">
        <v>742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3225</v>
      </c>
      <c r="F13" s="146" t="str">
        <f t="shared" si="4"/>
        <v>Sitni inventar i auto gume</v>
      </c>
      <c r="G13" s="184" t="s">
        <v>869</v>
      </c>
      <c r="H13" s="146" t="str">
        <f t="shared" si="5"/>
        <v>PROGRAMSKO FINANCIRANJE JAVNIH VISOKIH UČILIŠTA</v>
      </c>
      <c r="I13" s="183">
        <v>5000</v>
      </c>
      <c r="J13" s="183">
        <v>5000</v>
      </c>
      <c r="K13" s="183">
        <v>5000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611</v>
      </c>
      <c r="R13" s="141">
        <v>3213</v>
      </c>
      <c r="S13" s="141" t="s">
        <v>743</v>
      </c>
      <c r="U13" s="141" t="str">
        <f t="shared" si="8"/>
        <v>32</v>
      </c>
      <c r="V13" s="141" t="str">
        <f t="shared" si="9"/>
        <v>321</v>
      </c>
      <c r="X13" t="s">
        <v>744</v>
      </c>
      <c r="Y13" t="s">
        <v>745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3231</v>
      </c>
      <c r="F14" s="146" t="str">
        <f t="shared" si="4"/>
        <v>Usluge telefona, pošte i prijevoza</v>
      </c>
      <c r="G14" s="184" t="s">
        <v>869</v>
      </c>
      <c r="H14" s="146" t="str">
        <f t="shared" si="5"/>
        <v>PROGRAMSKO FINANCIRANJE JAVNIH VISOKIH UČILIŠTA</v>
      </c>
      <c r="I14" s="183">
        <v>55000</v>
      </c>
      <c r="J14" s="183">
        <v>55000</v>
      </c>
      <c r="K14" s="183">
        <v>55000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613</v>
      </c>
      <c r="R14" s="141">
        <v>3214</v>
      </c>
      <c r="S14" s="141" t="s">
        <v>746</v>
      </c>
      <c r="U14" s="141" t="str">
        <f t="shared" si="8"/>
        <v>32</v>
      </c>
      <c r="V14" s="141" t="str">
        <f t="shared" si="9"/>
        <v>321</v>
      </c>
      <c r="X14" t="s">
        <v>747</v>
      </c>
      <c r="Y14" t="s">
        <v>748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3232</v>
      </c>
      <c r="F15" s="146" t="str">
        <f t="shared" si="4"/>
        <v>Usluge tekućeg i investicijskog održavanja</v>
      </c>
      <c r="G15" s="184" t="s">
        <v>869</v>
      </c>
      <c r="H15" s="146" t="str">
        <f t="shared" si="5"/>
        <v>PROGRAMSKO FINANCIRANJE JAVNIH VISOKIH UČILIŠTA</v>
      </c>
      <c r="I15" s="183">
        <v>50000</v>
      </c>
      <c r="J15" s="183">
        <v>50000</v>
      </c>
      <c r="K15" s="183">
        <v>50000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615</v>
      </c>
      <c r="R15" s="141">
        <v>3221</v>
      </c>
      <c r="S15" s="141" t="s">
        <v>749</v>
      </c>
      <c r="U15" s="141" t="str">
        <f t="shared" si="8"/>
        <v>32</v>
      </c>
      <c r="V15" s="141" t="str">
        <f t="shared" si="9"/>
        <v>322</v>
      </c>
      <c r="X15" t="s">
        <v>750</v>
      </c>
      <c r="Y15" t="s">
        <v>751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3233</v>
      </c>
      <c r="F16" s="146" t="str">
        <f t="shared" si="4"/>
        <v>Usluge promidžbe i informiranja</v>
      </c>
      <c r="G16" s="184" t="s">
        <v>869</v>
      </c>
      <c r="H16" s="146" t="str">
        <f t="shared" si="5"/>
        <v>PROGRAMSKO FINANCIRANJE JAVNIH VISOKIH UČILIŠTA</v>
      </c>
      <c r="I16" s="183">
        <v>30000</v>
      </c>
      <c r="J16" s="183">
        <v>30000</v>
      </c>
      <c r="K16" s="183">
        <v>30000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617</v>
      </c>
      <c r="R16" s="141">
        <v>3222</v>
      </c>
      <c r="S16" s="141" t="s">
        <v>752</v>
      </c>
      <c r="U16" s="141" t="str">
        <f t="shared" si="8"/>
        <v>32</v>
      </c>
      <c r="V16" s="141" t="str">
        <f t="shared" si="9"/>
        <v>322</v>
      </c>
      <c r="X16" t="s">
        <v>753</v>
      </c>
      <c r="Y16" t="s">
        <v>754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3234</v>
      </c>
      <c r="F17" s="146" t="str">
        <f t="shared" si="4"/>
        <v>Komunalne usluge</v>
      </c>
      <c r="G17" s="184" t="s">
        <v>869</v>
      </c>
      <c r="H17" s="146" t="str">
        <f t="shared" si="5"/>
        <v>PROGRAMSKO FINANCIRANJE JAVNIH VISOKIH UČILIŠTA</v>
      </c>
      <c r="I17" s="183">
        <v>171910</v>
      </c>
      <c r="J17" s="183">
        <v>171910</v>
      </c>
      <c r="K17" s="183">
        <v>171910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619</v>
      </c>
      <c r="R17" s="141">
        <v>3223</v>
      </c>
      <c r="S17" s="141" t="s">
        <v>755</v>
      </c>
      <c r="U17" s="141" t="str">
        <f t="shared" si="8"/>
        <v>32</v>
      </c>
      <c r="V17" s="141" t="str">
        <f t="shared" si="9"/>
        <v>322</v>
      </c>
      <c r="X17" t="s">
        <v>756</v>
      </c>
      <c r="Y17" t="s">
        <v>757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3235</v>
      </c>
      <c r="F18" s="146" t="str">
        <f t="shared" si="4"/>
        <v>Zakupnine i najamnine</v>
      </c>
      <c r="G18" s="184" t="s">
        <v>869</v>
      </c>
      <c r="H18" s="146" t="str">
        <f t="shared" si="5"/>
        <v>PROGRAMSKO FINANCIRANJE JAVNIH VISOKIH UČILIŠTA</v>
      </c>
      <c r="I18" s="183">
        <v>20000</v>
      </c>
      <c r="J18" s="183">
        <v>20000</v>
      </c>
      <c r="K18" s="183">
        <v>20000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621</v>
      </c>
      <c r="R18" s="141">
        <v>3224</v>
      </c>
      <c r="S18" s="141" t="s">
        <v>758</v>
      </c>
      <c r="U18" s="141" t="str">
        <f t="shared" si="8"/>
        <v>32</v>
      </c>
      <c r="V18" s="141" t="str">
        <f t="shared" si="9"/>
        <v>322</v>
      </c>
      <c r="X18" t="s">
        <v>759</v>
      </c>
      <c r="Y18" t="s">
        <v>760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3237</v>
      </c>
      <c r="F19" s="146" t="str">
        <f t="shared" si="4"/>
        <v>Intelektualne i osobne usluge</v>
      </c>
      <c r="G19" s="184" t="s">
        <v>869</v>
      </c>
      <c r="H19" s="146" t="str">
        <f t="shared" si="5"/>
        <v>PROGRAMSKO FINANCIRANJE JAVNIH VISOKIH UČILIŠTA</v>
      </c>
      <c r="I19" s="183">
        <v>50000</v>
      </c>
      <c r="J19" s="183">
        <v>50000</v>
      </c>
      <c r="K19" s="183">
        <v>50000</v>
      </c>
      <c r="M19" s="141" t="str">
        <f t="shared" si="6"/>
        <v>323</v>
      </c>
      <c r="N19" s="141" t="str">
        <f t="shared" si="7"/>
        <v>32</v>
      </c>
      <c r="O19" s="219">
        <v>576</v>
      </c>
      <c r="P19" s="220" t="s">
        <v>623</v>
      </c>
      <c r="R19" s="141">
        <v>3225</v>
      </c>
      <c r="S19" s="141" t="s">
        <v>761</v>
      </c>
      <c r="U19" s="141" t="str">
        <f t="shared" si="8"/>
        <v>32</v>
      </c>
      <c r="V19" s="141" t="str">
        <f t="shared" si="9"/>
        <v>322</v>
      </c>
      <c r="X19" t="s">
        <v>762</v>
      </c>
      <c r="Y19" t="s">
        <v>763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3238</v>
      </c>
      <c r="F20" s="146" t="str">
        <f t="shared" si="4"/>
        <v>Računalne usluge</v>
      </c>
      <c r="G20" s="184" t="s">
        <v>869</v>
      </c>
      <c r="H20" s="146" t="str">
        <f t="shared" si="5"/>
        <v>PROGRAMSKO FINANCIRANJE JAVNIH VISOKIH UČILIŠTA</v>
      </c>
      <c r="I20" s="183">
        <v>30000</v>
      </c>
      <c r="J20" s="183">
        <v>30000</v>
      </c>
      <c r="K20" s="183">
        <v>30000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625</v>
      </c>
      <c r="R20" s="141">
        <v>3226</v>
      </c>
      <c r="S20" s="141" t="s">
        <v>764</v>
      </c>
      <c r="U20" s="141" t="str">
        <f t="shared" si="8"/>
        <v>32</v>
      </c>
      <c r="V20" s="141" t="str">
        <f t="shared" si="9"/>
        <v>322</v>
      </c>
      <c r="X20" t="s">
        <v>765</v>
      </c>
      <c r="Y20" t="s">
        <v>766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3239</v>
      </c>
      <c r="F21" s="146" t="str">
        <f t="shared" si="4"/>
        <v>Ostale usluge</v>
      </c>
      <c r="G21" s="184" t="s">
        <v>869</v>
      </c>
      <c r="H21" s="146" t="str">
        <f t="shared" si="5"/>
        <v>PROGRAMSKO FINANCIRANJE JAVNIH VISOKIH UČILIŠTA</v>
      </c>
      <c r="I21" s="183">
        <v>120000</v>
      </c>
      <c r="J21" s="183">
        <v>120000</v>
      </c>
      <c r="K21" s="183">
        <v>120000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627</v>
      </c>
      <c r="R21" s="141">
        <v>3227</v>
      </c>
      <c r="S21" s="141" t="s">
        <v>767</v>
      </c>
      <c r="U21" s="141" t="str">
        <f t="shared" si="8"/>
        <v>32</v>
      </c>
      <c r="V21" s="141" t="str">
        <f t="shared" si="9"/>
        <v>322</v>
      </c>
      <c r="X21" t="s">
        <v>768</v>
      </c>
      <c r="Y21" t="s">
        <v>769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3299</v>
      </c>
      <c r="F22" s="146" t="str">
        <f t="shared" si="4"/>
        <v>Ostali nespomenuti rashodi poslovanja</v>
      </c>
      <c r="G22" s="184" t="s">
        <v>869</v>
      </c>
      <c r="H22" s="146" t="str">
        <f t="shared" si="5"/>
        <v>PROGRAMSKO FINANCIRANJE JAVNIH VISOKIH UČILIŠTA</v>
      </c>
      <c r="I22" s="183">
        <v>10000</v>
      </c>
      <c r="J22" s="183">
        <v>10000</v>
      </c>
      <c r="K22" s="183">
        <v>10000</v>
      </c>
      <c r="M22" s="141" t="str">
        <f t="shared" si="6"/>
        <v>329</v>
      </c>
      <c r="N22" s="141" t="str">
        <f t="shared" si="7"/>
        <v>32</v>
      </c>
      <c r="O22" s="141">
        <v>81</v>
      </c>
      <c r="P22" s="141" t="s">
        <v>629</v>
      </c>
      <c r="R22" s="141">
        <v>3231</v>
      </c>
      <c r="S22" s="141" t="s">
        <v>770</v>
      </c>
      <c r="U22" s="141" t="str">
        <f t="shared" si="8"/>
        <v>32</v>
      </c>
      <c r="V22" s="141" t="str">
        <f t="shared" si="9"/>
        <v>323</v>
      </c>
      <c r="X22" t="s">
        <v>771</v>
      </c>
      <c r="Y22" t="s">
        <v>772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3431</v>
      </c>
      <c r="F23" s="146" t="str">
        <f t="shared" si="4"/>
        <v>Bankarske usluge i usluge platnog prometa</v>
      </c>
      <c r="G23" s="184" t="s">
        <v>869</v>
      </c>
      <c r="H23" s="146" t="str">
        <f t="shared" si="5"/>
        <v>PROGRAMSKO FINANCIRANJE JAVNIH VISOKIH UČILIŠTA</v>
      </c>
      <c r="I23" s="183">
        <v>15000</v>
      </c>
      <c r="J23" s="183">
        <v>15000</v>
      </c>
      <c r="K23" s="183">
        <v>15000</v>
      </c>
      <c r="M23" s="141" t="str">
        <f t="shared" si="6"/>
        <v>343</v>
      </c>
      <c r="N23" s="141" t="str">
        <f t="shared" si="7"/>
        <v>34</v>
      </c>
      <c r="O23" s="141">
        <v>83</v>
      </c>
      <c r="P23" s="141" t="s">
        <v>632</v>
      </c>
      <c r="R23" s="141">
        <v>3232</v>
      </c>
      <c r="S23" s="141" t="s">
        <v>773</v>
      </c>
      <c r="U23" s="141" t="str">
        <f t="shared" si="8"/>
        <v>32</v>
      </c>
      <c r="V23" s="141" t="str">
        <f t="shared" si="9"/>
        <v>323</v>
      </c>
      <c r="X23" t="s">
        <v>774</v>
      </c>
      <c r="Y23" t="s">
        <v>775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3211</v>
      </c>
      <c r="F24" s="146" t="str">
        <f t="shared" si="4"/>
        <v>Službena putovanja</v>
      </c>
      <c r="G24" s="184" t="s">
        <v>869</v>
      </c>
      <c r="H24" s="146" t="str">
        <f t="shared" si="5"/>
        <v>PROGRAMSKO FINANCIRANJE JAVNIH VISOKIH UČILIŠTA</v>
      </c>
      <c r="I24" s="183">
        <v>110000</v>
      </c>
      <c r="J24" s="183">
        <v>110000</v>
      </c>
      <c r="K24" s="183">
        <v>110000</v>
      </c>
      <c r="M24" s="141" t="str">
        <f t="shared" si="6"/>
        <v>321</v>
      </c>
      <c r="N24" s="141" t="str">
        <f t="shared" si="7"/>
        <v>32</v>
      </c>
      <c r="R24" s="141">
        <v>3233</v>
      </c>
      <c r="S24" s="141" t="s">
        <v>776</v>
      </c>
      <c r="U24" s="141" t="str">
        <f t="shared" si="8"/>
        <v>32</v>
      </c>
      <c r="V24" s="141" t="str">
        <f t="shared" si="9"/>
        <v>323</v>
      </c>
      <c r="X24" t="s">
        <v>777</v>
      </c>
      <c r="Y24" t="s">
        <v>778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3213</v>
      </c>
      <c r="F25" s="146" t="str">
        <f t="shared" si="4"/>
        <v>Stručno usavršavanje zaposlenika</v>
      </c>
      <c r="G25" s="184" t="s">
        <v>869</v>
      </c>
      <c r="H25" s="146" t="str">
        <f t="shared" si="5"/>
        <v>PROGRAMSKO FINANCIRANJE JAVNIH VISOKIH UČILIŠTA</v>
      </c>
      <c r="I25" s="183">
        <v>60000</v>
      </c>
      <c r="J25" s="183">
        <v>60000</v>
      </c>
      <c r="K25" s="183">
        <v>60000</v>
      </c>
      <c r="M25" s="141" t="str">
        <f t="shared" si="6"/>
        <v>321</v>
      </c>
      <c r="N25" s="141" t="str">
        <f t="shared" si="7"/>
        <v>32</v>
      </c>
      <c r="R25" s="141">
        <v>3234</v>
      </c>
      <c r="S25" s="141" t="s">
        <v>779</v>
      </c>
      <c r="U25" s="141" t="str">
        <f t="shared" si="8"/>
        <v>32</v>
      </c>
      <c r="V25" s="141" t="str">
        <f t="shared" si="9"/>
        <v>323</v>
      </c>
      <c r="X25" t="s">
        <v>780</v>
      </c>
      <c r="Y25" t="s">
        <v>781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3214</v>
      </c>
      <c r="F26" s="146" t="str">
        <f t="shared" si="4"/>
        <v>Ostale naknade troškova zaposlenima</v>
      </c>
      <c r="G26" s="184" t="s">
        <v>869</v>
      </c>
      <c r="H26" s="146" t="str">
        <f t="shared" si="5"/>
        <v>PROGRAMSKO FINANCIRANJE JAVNIH VISOKIH UČILIŠTA</v>
      </c>
      <c r="I26" s="183">
        <v>2000</v>
      </c>
      <c r="J26" s="183">
        <v>2000</v>
      </c>
      <c r="K26" s="183">
        <v>2000</v>
      </c>
      <c r="M26" s="141" t="str">
        <f t="shared" si="6"/>
        <v>321</v>
      </c>
      <c r="N26" s="141" t="str">
        <f t="shared" si="7"/>
        <v>32</v>
      </c>
      <c r="R26" s="141">
        <v>3235</v>
      </c>
      <c r="S26" s="141" t="s">
        <v>782</v>
      </c>
      <c r="U26" s="141" t="str">
        <f t="shared" si="8"/>
        <v>32</v>
      </c>
      <c r="V26" s="141" t="str">
        <f t="shared" si="9"/>
        <v>323</v>
      </c>
      <c r="X26" t="s">
        <v>783</v>
      </c>
      <c r="Y26" t="s">
        <v>784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3221</v>
      </c>
      <c r="F27" s="146" t="str">
        <f t="shared" si="4"/>
        <v>Uredski materijal i ostali materijalni rashodi</v>
      </c>
      <c r="G27" s="184" t="s">
        <v>869</v>
      </c>
      <c r="H27" s="146" t="str">
        <f t="shared" si="5"/>
        <v>PROGRAMSKO FINANCIRANJE JAVNIH VISOKIH UČILIŠTA</v>
      </c>
      <c r="I27" s="183">
        <v>10000</v>
      </c>
      <c r="J27" s="183">
        <v>10000</v>
      </c>
      <c r="K27" s="183">
        <v>10000</v>
      </c>
      <c r="M27" s="141" t="str">
        <f t="shared" si="6"/>
        <v>322</v>
      </c>
      <c r="N27" s="141" t="str">
        <f t="shared" si="7"/>
        <v>32</v>
      </c>
      <c r="R27" s="141">
        <v>3236</v>
      </c>
      <c r="S27" s="141" t="s">
        <v>785</v>
      </c>
      <c r="U27" s="141" t="str">
        <f t="shared" si="8"/>
        <v>32</v>
      </c>
      <c r="V27" s="141" t="str">
        <f t="shared" si="9"/>
        <v>323</v>
      </c>
      <c r="X27" t="s">
        <v>786</v>
      </c>
      <c r="Y27" t="s">
        <v>787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3222</v>
      </c>
      <c r="F28" s="146" t="str">
        <f t="shared" si="4"/>
        <v>Materijal i sirovine</v>
      </c>
      <c r="G28" s="184" t="s">
        <v>869</v>
      </c>
      <c r="H28" s="146" t="str">
        <f t="shared" si="5"/>
        <v>PROGRAMSKO FINANCIRANJE JAVNIH VISOKIH UČILIŠTA</v>
      </c>
      <c r="I28" s="183">
        <v>23000</v>
      </c>
      <c r="J28" s="183">
        <v>23000</v>
      </c>
      <c r="K28" s="183">
        <v>23000</v>
      </c>
      <c r="M28" s="141" t="str">
        <f t="shared" si="6"/>
        <v>322</v>
      </c>
      <c r="N28" s="141" t="str">
        <f t="shared" si="7"/>
        <v>32</v>
      </c>
      <c r="R28" s="141">
        <v>3237</v>
      </c>
      <c r="S28" s="141" t="s">
        <v>788</v>
      </c>
      <c r="U28" s="141" t="str">
        <f t="shared" si="8"/>
        <v>32</v>
      </c>
      <c r="V28" s="141" t="str">
        <f t="shared" si="9"/>
        <v>323</v>
      </c>
      <c r="X28" t="s">
        <v>789</v>
      </c>
      <c r="Y28" t="s">
        <v>790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3224</v>
      </c>
      <c r="F29" s="146" t="str">
        <f t="shared" si="4"/>
        <v>Materijal i dijelovi za tekuće i investicijsko održavanje</v>
      </c>
      <c r="G29" s="184" t="s">
        <v>869</v>
      </c>
      <c r="H29" s="146" t="str">
        <f t="shared" si="5"/>
        <v>PROGRAMSKO FINANCIRANJE JAVNIH VISOKIH UČILIŠTA</v>
      </c>
      <c r="I29" s="183">
        <v>2000</v>
      </c>
      <c r="J29" s="183">
        <v>2000</v>
      </c>
      <c r="K29" s="183">
        <v>2000</v>
      </c>
      <c r="M29" s="141" t="str">
        <f t="shared" si="6"/>
        <v>322</v>
      </c>
      <c r="N29" s="141" t="str">
        <f t="shared" si="7"/>
        <v>32</v>
      </c>
      <c r="R29" s="141">
        <v>3238</v>
      </c>
      <c r="S29" s="141" t="s">
        <v>791</v>
      </c>
      <c r="U29" s="141" t="str">
        <f t="shared" si="8"/>
        <v>32</v>
      </c>
      <c r="V29" s="141" t="str">
        <f t="shared" si="9"/>
        <v>323</v>
      </c>
      <c r="X29" t="s">
        <v>792</v>
      </c>
      <c r="Y29" t="s">
        <v>793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3225</v>
      </c>
      <c r="F30" s="146" t="str">
        <f t="shared" si="4"/>
        <v>Sitni inventar i auto gume</v>
      </c>
      <c r="G30" s="184" t="s">
        <v>869</v>
      </c>
      <c r="H30" s="146" t="str">
        <f t="shared" si="5"/>
        <v>PROGRAMSKO FINANCIRANJE JAVNIH VISOKIH UČILIŠTA</v>
      </c>
      <c r="I30" s="183">
        <v>10000</v>
      </c>
      <c r="J30" s="183">
        <v>10000</v>
      </c>
      <c r="K30" s="183">
        <v>10000</v>
      </c>
      <c r="M30" s="141" t="str">
        <f t="shared" si="6"/>
        <v>322</v>
      </c>
      <c r="N30" s="141" t="str">
        <f t="shared" si="7"/>
        <v>32</v>
      </c>
      <c r="R30" s="141">
        <v>3239</v>
      </c>
      <c r="S30" s="141" t="s">
        <v>794</v>
      </c>
      <c r="U30" s="141" t="str">
        <f t="shared" si="8"/>
        <v>32</v>
      </c>
      <c r="V30" s="141" t="str">
        <f t="shared" si="9"/>
        <v>323</v>
      </c>
      <c r="X30" t="s">
        <v>795</v>
      </c>
      <c r="Y30" t="s">
        <v>796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3227</v>
      </c>
      <c r="F31" s="146" t="str">
        <f t="shared" si="4"/>
        <v>Službena, radna i zaštitna odjeća i obuća</v>
      </c>
      <c r="G31" s="184" t="s">
        <v>869</v>
      </c>
      <c r="H31" s="146" t="str">
        <f t="shared" si="5"/>
        <v>PROGRAMSKO FINANCIRANJE JAVNIH VISOKIH UČILIŠTA</v>
      </c>
      <c r="I31" s="183">
        <v>3000</v>
      </c>
      <c r="J31" s="183">
        <v>3000</v>
      </c>
      <c r="K31" s="183">
        <v>3000</v>
      </c>
      <c r="M31" s="141" t="str">
        <f t="shared" si="6"/>
        <v>322</v>
      </c>
      <c r="N31" s="141" t="str">
        <f t="shared" si="7"/>
        <v>32</v>
      </c>
      <c r="R31" s="141">
        <v>3241</v>
      </c>
      <c r="S31" s="141" t="s">
        <v>797</v>
      </c>
      <c r="U31" s="141" t="str">
        <f t="shared" si="8"/>
        <v>32</v>
      </c>
      <c r="V31" s="141" t="str">
        <f t="shared" si="9"/>
        <v>324</v>
      </c>
      <c r="X31" t="s">
        <v>798</v>
      </c>
      <c r="Y31" t="s">
        <v>799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3233</v>
      </c>
      <c r="F32" s="146" t="str">
        <f t="shared" si="4"/>
        <v>Usluge promidžbe i informiranja</v>
      </c>
      <c r="G32" s="184" t="s">
        <v>869</v>
      </c>
      <c r="H32" s="146" t="str">
        <f t="shared" si="5"/>
        <v>PROGRAMSKO FINANCIRANJE JAVNIH VISOKIH UČILIŠTA</v>
      </c>
      <c r="I32" s="183">
        <v>30000</v>
      </c>
      <c r="J32" s="183">
        <v>30000</v>
      </c>
      <c r="K32" s="183">
        <v>30000</v>
      </c>
      <c r="M32" s="141" t="str">
        <f t="shared" si="6"/>
        <v>323</v>
      </c>
      <c r="N32" s="141" t="str">
        <f t="shared" si="7"/>
        <v>32</v>
      </c>
      <c r="R32" s="141">
        <v>3291</v>
      </c>
      <c r="S32" s="141" t="s">
        <v>800</v>
      </c>
      <c r="U32" s="141" t="str">
        <f t="shared" si="8"/>
        <v>32</v>
      </c>
      <c r="V32" s="141" t="str">
        <f t="shared" si="9"/>
        <v>329</v>
      </c>
      <c r="X32" t="s">
        <v>801</v>
      </c>
      <c r="Y32" t="s">
        <v>802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3235</v>
      </c>
      <c r="F33" s="146" t="str">
        <f t="shared" si="4"/>
        <v>Zakupnine i najamnine</v>
      </c>
      <c r="G33" s="184" t="s">
        <v>869</v>
      </c>
      <c r="H33" s="146" t="str">
        <f t="shared" si="5"/>
        <v>PROGRAMSKO FINANCIRANJE JAVNIH VISOKIH UČILIŠTA</v>
      </c>
      <c r="I33" s="183">
        <v>10000</v>
      </c>
      <c r="J33" s="183">
        <v>10000</v>
      </c>
      <c r="K33" s="183">
        <v>10000</v>
      </c>
      <c r="M33" s="141" t="str">
        <f t="shared" si="6"/>
        <v>323</v>
      </c>
      <c r="N33" s="141" t="str">
        <f t="shared" si="7"/>
        <v>32</v>
      </c>
      <c r="R33" s="141">
        <v>3292</v>
      </c>
      <c r="S33" s="141" t="s">
        <v>803</v>
      </c>
      <c r="U33" s="141" t="str">
        <f t="shared" si="8"/>
        <v>32</v>
      </c>
      <c r="V33" s="141" t="str">
        <f t="shared" si="9"/>
        <v>329</v>
      </c>
      <c r="X33" t="s">
        <v>804</v>
      </c>
      <c r="Y33" t="s">
        <v>805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11</v>
      </c>
      <c r="D34" s="146" t="str">
        <f t="shared" si="3"/>
        <v>Opći prihodi i primici</v>
      </c>
      <c r="E34" s="151">
        <v>3237</v>
      </c>
      <c r="F34" s="146" t="str">
        <f t="shared" si="4"/>
        <v>Intelektualne i osobne usluge</v>
      </c>
      <c r="G34" s="184" t="s">
        <v>869</v>
      </c>
      <c r="H34" s="146" t="str">
        <f t="shared" si="5"/>
        <v>PROGRAMSKO FINANCIRANJE JAVNIH VISOKIH UČILIŠTA</v>
      </c>
      <c r="I34" s="183">
        <v>10000</v>
      </c>
      <c r="J34" s="183">
        <v>10000</v>
      </c>
      <c r="K34" s="183">
        <v>10000</v>
      </c>
      <c r="M34" s="141" t="str">
        <f t="shared" si="6"/>
        <v>323</v>
      </c>
      <c r="N34" s="141" t="str">
        <f t="shared" si="7"/>
        <v>32</v>
      </c>
      <c r="R34" s="141">
        <v>3293</v>
      </c>
      <c r="S34" s="141" t="s">
        <v>806</v>
      </c>
      <c r="U34" s="141" t="str">
        <f t="shared" si="8"/>
        <v>32</v>
      </c>
      <c r="V34" s="141" t="str">
        <f t="shared" si="9"/>
        <v>329</v>
      </c>
      <c r="X34" t="s">
        <v>807</v>
      </c>
      <c r="Y34" t="s">
        <v>808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11</v>
      </c>
      <c r="D35" s="146" t="str">
        <f t="shared" si="3"/>
        <v>Opći prihodi i primici</v>
      </c>
      <c r="E35" s="151">
        <v>3239</v>
      </c>
      <c r="F35" s="146" t="str">
        <f t="shared" si="4"/>
        <v>Ostale usluge</v>
      </c>
      <c r="G35" s="184" t="s">
        <v>869</v>
      </c>
      <c r="H35" s="146" t="str">
        <f t="shared" si="5"/>
        <v>PROGRAMSKO FINANCIRANJE JAVNIH VISOKIH UČILIŠTA</v>
      </c>
      <c r="I35" s="183">
        <v>7000</v>
      </c>
      <c r="J35" s="183">
        <v>7000</v>
      </c>
      <c r="K35" s="183">
        <v>7000</v>
      </c>
      <c r="M35" s="141" t="str">
        <f t="shared" si="6"/>
        <v>323</v>
      </c>
      <c r="N35" s="141" t="str">
        <f t="shared" si="7"/>
        <v>32</v>
      </c>
      <c r="R35" s="141">
        <v>3293</v>
      </c>
      <c r="S35" s="141" t="s">
        <v>809</v>
      </c>
      <c r="U35" s="141" t="str">
        <f t="shared" si="8"/>
        <v>32</v>
      </c>
      <c r="V35" s="141" t="str">
        <f t="shared" si="9"/>
        <v>329</v>
      </c>
      <c r="X35" t="s">
        <v>810</v>
      </c>
      <c r="Y35" t="s">
        <v>811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11</v>
      </c>
      <c r="D36" s="146" t="str">
        <f t="shared" si="3"/>
        <v>Opći prihodi i primici</v>
      </c>
      <c r="E36" s="151">
        <v>3241</v>
      </c>
      <c r="F36" s="146" t="str">
        <f t="shared" si="4"/>
        <v>Naknade troškova osobama izvan radnog odnosa</v>
      </c>
      <c r="G36" s="184" t="s">
        <v>869</v>
      </c>
      <c r="H36" s="146" t="str">
        <f t="shared" si="5"/>
        <v>PROGRAMSKO FINANCIRANJE JAVNIH VISOKIH UČILIŠTA</v>
      </c>
      <c r="I36" s="183">
        <v>8000</v>
      </c>
      <c r="J36" s="183">
        <v>8000</v>
      </c>
      <c r="K36" s="183">
        <v>8000</v>
      </c>
      <c r="M36" s="141" t="str">
        <f t="shared" si="6"/>
        <v>324</v>
      </c>
      <c r="N36" s="141" t="str">
        <f t="shared" si="7"/>
        <v>32</v>
      </c>
      <c r="R36" s="141">
        <v>3294</v>
      </c>
      <c r="S36" s="141" t="s">
        <v>812</v>
      </c>
      <c r="U36" s="141" t="str">
        <f t="shared" si="8"/>
        <v>32</v>
      </c>
      <c r="V36" s="141" t="str">
        <f t="shared" si="9"/>
        <v>329</v>
      </c>
      <c r="X36" t="s">
        <v>813</v>
      </c>
      <c r="Y36" t="s">
        <v>814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11</v>
      </c>
      <c r="D37" s="146" t="str">
        <f t="shared" si="3"/>
        <v>Opći prihodi i primici</v>
      </c>
      <c r="E37" s="151">
        <v>3294</v>
      </c>
      <c r="F37" s="146" t="str">
        <f t="shared" si="4"/>
        <v>Članarine i norme</v>
      </c>
      <c r="G37" s="184" t="s">
        <v>869</v>
      </c>
      <c r="H37" s="146" t="str">
        <f t="shared" si="5"/>
        <v>PROGRAMSKO FINANCIRANJE JAVNIH VISOKIH UČILIŠTA</v>
      </c>
      <c r="I37" s="183">
        <v>10000</v>
      </c>
      <c r="J37" s="183">
        <v>10000</v>
      </c>
      <c r="K37" s="183">
        <v>10000</v>
      </c>
      <c r="M37" s="141" t="str">
        <f t="shared" si="6"/>
        <v>329</v>
      </c>
      <c r="N37" s="141" t="str">
        <f t="shared" si="7"/>
        <v>32</v>
      </c>
      <c r="R37" s="141">
        <v>3295</v>
      </c>
      <c r="S37" s="141" t="s">
        <v>815</v>
      </c>
      <c r="U37" s="141" t="str">
        <f t="shared" si="8"/>
        <v>32</v>
      </c>
      <c r="V37" s="141" t="str">
        <f t="shared" si="9"/>
        <v>329</v>
      </c>
      <c r="X37" t="s">
        <v>816</v>
      </c>
      <c r="Y37" t="s">
        <v>817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11</v>
      </c>
      <c r="D38" s="146" t="str">
        <f t="shared" si="3"/>
        <v>Opći prihodi i primici</v>
      </c>
      <c r="E38" s="151">
        <v>3299</v>
      </c>
      <c r="F38" s="146" t="str">
        <f t="shared" si="4"/>
        <v>Ostali nespomenuti rashodi poslovanja</v>
      </c>
      <c r="G38" s="184" t="s">
        <v>869</v>
      </c>
      <c r="H38" s="146" t="str">
        <f t="shared" si="5"/>
        <v>PROGRAMSKO FINANCIRANJE JAVNIH VISOKIH UČILIŠTA</v>
      </c>
      <c r="I38" s="183">
        <v>10000</v>
      </c>
      <c r="J38" s="183">
        <v>10000</v>
      </c>
      <c r="K38" s="183">
        <v>10000</v>
      </c>
      <c r="M38" s="141" t="str">
        <f t="shared" si="6"/>
        <v>329</v>
      </c>
      <c r="N38" s="141" t="str">
        <f t="shared" si="7"/>
        <v>32</v>
      </c>
      <c r="R38" s="141">
        <v>3296</v>
      </c>
      <c r="S38" s="141" t="s">
        <v>818</v>
      </c>
      <c r="U38" s="141" t="str">
        <f t="shared" si="8"/>
        <v>32</v>
      </c>
      <c r="V38" s="141" t="str">
        <f t="shared" si="9"/>
        <v>329</v>
      </c>
      <c r="X38" t="s">
        <v>819</v>
      </c>
      <c r="Y38" t="s">
        <v>820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11</v>
      </c>
      <c r="D39" s="146" t="str">
        <f t="shared" si="3"/>
        <v>Opći prihodi i primici</v>
      </c>
      <c r="E39" s="151">
        <v>4221</v>
      </c>
      <c r="F39" s="146" t="str">
        <f t="shared" si="4"/>
        <v>Uredska oprema i namještaj</v>
      </c>
      <c r="G39" s="184" t="s">
        <v>869</v>
      </c>
      <c r="H39" s="146" t="str">
        <f t="shared" si="5"/>
        <v>PROGRAMSKO FINANCIRANJE JAVNIH VISOKIH UČILIŠTA</v>
      </c>
      <c r="I39" s="183">
        <v>60000</v>
      </c>
      <c r="J39" s="183">
        <v>60000</v>
      </c>
      <c r="K39" s="183">
        <v>60000</v>
      </c>
      <c r="M39" s="141" t="str">
        <f t="shared" si="6"/>
        <v>422</v>
      </c>
      <c r="N39" s="141" t="str">
        <f t="shared" si="7"/>
        <v>42</v>
      </c>
      <c r="R39" s="141">
        <v>3299</v>
      </c>
      <c r="S39" s="141" t="s">
        <v>821</v>
      </c>
      <c r="U39" s="141" t="str">
        <f t="shared" si="8"/>
        <v>32</v>
      </c>
      <c r="V39" s="141" t="str">
        <f t="shared" si="9"/>
        <v>329</v>
      </c>
      <c r="X39" t="s">
        <v>822</v>
      </c>
      <c r="Y39" t="s">
        <v>823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11</v>
      </c>
      <c r="D40" s="146" t="str">
        <f t="shared" si="3"/>
        <v>Opći prihodi i primici</v>
      </c>
      <c r="E40" s="151">
        <v>4224</v>
      </c>
      <c r="F40" s="146" t="str">
        <f t="shared" si="4"/>
        <v>Medicinska i laboratorijska oprema</v>
      </c>
      <c r="G40" s="184" t="s">
        <v>869</v>
      </c>
      <c r="H40" s="146" t="str">
        <f t="shared" si="5"/>
        <v>PROGRAMSKO FINANCIRANJE JAVNIH VISOKIH UČILIŠTA</v>
      </c>
      <c r="I40" s="183">
        <v>40000</v>
      </c>
      <c r="J40" s="183">
        <v>40000</v>
      </c>
      <c r="K40" s="183">
        <v>40000</v>
      </c>
      <c r="M40" s="141" t="str">
        <f t="shared" si="6"/>
        <v>422</v>
      </c>
      <c r="N40" s="141" t="str">
        <f t="shared" si="7"/>
        <v>42</v>
      </c>
      <c r="R40" s="141">
        <v>3411</v>
      </c>
      <c r="S40" s="141" t="s">
        <v>824</v>
      </c>
      <c r="U40" s="141" t="str">
        <f t="shared" si="8"/>
        <v>34</v>
      </c>
      <c r="V40" s="141" t="str">
        <f t="shared" si="9"/>
        <v>341</v>
      </c>
      <c r="X40" t="s">
        <v>825</v>
      </c>
      <c r="Y40" t="s">
        <v>826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11</v>
      </c>
      <c r="D41" s="146" t="str">
        <f t="shared" si="3"/>
        <v>Opći prihodi i primici</v>
      </c>
      <c r="E41" s="151">
        <v>4225</v>
      </c>
      <c r="F41" s="146" t="str">
        <f t="shared" si="4"/>
        <v>Instrumenti, uređaji i strojevi</v>
      </c>
      <c r="G41" s="184" t="s">
        <v>869</v>
      </c>
      <c r="H41" s="146" t="str">
        <f t="shared" si="5"/>
        <v>PROGRAMSKO FINANCIRANJE JAVNIH VISOKIH UČILIŠTA</v>
      </c>
      <c r="I41" s="183">
        <v>20000</v>
      </c>
      <c r="J41" s="183">
        <v>20000</v>
      </c>
      <c r="K41" s="183">
        <v>20000</v>
      </c>
      <c r="M41" s="141" t="str">
        <f t="shared" si="6"/>
        <v>422</v>
      </c>
      <c r="N41" s="141" t="str">
        <f t="shared" si="7"/>
        <v>42</v>
      </c>
      <c r="R41" s="141">
        <v>3422</v>
      </c>
      <c r="S41" s="141" t="s">
        <v>827</v>
      </c>
      <c r="U41" s="141" t="str">
        <f t="shared" si="8"/>
        <v>34</v>
      </c>
      <c r="V41" s="141" t="str">
        <f t="shared" si="9"/>
        <v>342</v>
      </c>
      <c r="X41" t="s">
        <v>828</v>
      </c>
      <c r="Y41" t="s">
        <v>829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11</v>
      </c>
      <c r="D42" s="146" t="str">
        <f t="shared" si="3"/>
        <v>Opći prihodi i primici</v>
      </c>
      <c r="E42" s="151">
        <v>4241</v>
      </c>
      <c r="F42" s="146" t="str">
        <f t="shared" si="4"/>
        <v>Knjige</v>
      </c>
      <c r="G42" s="184" t="s">
        <v>869</v>
      </c>
      <c r="H42" s="146" t="str">
        <f t="shared" si="5"/>
        <v>PROGRAMSKO FINANCIRANJE JAVNIH VISOKIH UČILIŠTA</v>
      </c>
      <c r="I42" s="183">
        <v>5000</v>
      </c>
      <c r="J42" s="183">
        <v>5000</v>
      </c>
      <c r="K42" s="183">
        <v>5000</v>
      </c>
      <c r="M42" s="141" t="str">
        <f t="shared" si="6"/>
        <v>424</v>
      </c>
      <c r="N42" s="141" t="str">
        <f t="shared" si="7"/>
        <v>42</v>
      </c>
      <c r="R42" s="141">
        <v>3423</v>
      </c>
      <c r="S42" s="141" t="s">
        <v>827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830</v>
      </c>
      <c r="Y42" t="s">
        <v>831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11</v>
      </c>
      <c r="D43" s="146" t="str">
        <f t="shared" si="3"/>
        <v>Opći prihodi i primici</v>
      </c>
      <c r="E43" s="151">
        <v>4262</v>
      </c>
      <c r="F43" s="146" t="str">
        <f t="shared" si="4"/>
        <v>Ulaganja u računalne programe</v>
      </c>
      <c r="G43" s="184" t="s">
        <v>869</v>
      </c>
      <c r="H43" s="146" t="str">
        <f t="shared" si="5"/>
        <v>PROGRAMSKO FINANCIRANJE JAVNIH VISOKIH UČILIŠTA</v>
      </c>
      <c r="I43" s="183">
        <v>20000</v>
      </c>
      <c r="J43" s="183">
        <v>20000</v>
      </c>
      <c r="K43" s="183">
        <v>20000</v>
      </c>
      <c r="M43" s="141" t="str">
        <f t="shared" si="6"/>
        <v>426</v>
      </c>
      <c r="N43" s="141" t="str">
        <f t="shared" si="7"/>
        <v>42</v>
      </c>
      <c r="R43" s="141">
        <v>3427</v>
      </c>
      <c r="S43" s="141" t="s">
        <v>832</v>
      </c>
      <c r="U43" s="141" t="str">
        <f t="shared" si="10"/>
        <v>34</v>
      </c>
      <c r="V43" s="141" t="str">
        <f t="shared" si="11"/>
        <v>342</v>
      </c>
      <c r="X43" t="s">
        <v>833</v>
      </c>
      <c r="Y43" t="s">
        <v>834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52</v>
      </c>
      <c r="D44" s="146" t="str">
        <f t="shared" si="3"/>
        <v>Ostale pomoći</v>
      </c>
      <c r="E44" s="151">
        <v>3299</v>
      </c>
      <c r="F44" s="146" t="str">
        <f t="shared" si="4"/>
        <v>Ostali nespomenuti rashodi poslovanja</v>
      </c>
      <c r="G44" s="184" t="s">
        <v>881</v>
      </c>
      <c r="H44" s="146" t="str">
        <f t="shared" si="5"/>
        <v>REDOVNA DJELATNOST SVEUČILIŠTA U RIJECI (IZ EVIDENCIJSKIH PRIHODA)</v>
      </c>
      <c r="I44" s="183">
        <v>6000</v>
      </c>
      <c r="J44" s="183">
        <v>6000</v>
      </c>
      <c r="K44" s="183">
        <v>6000</v>
      </c>
      <c r="M44" s="141" t="str">
        <f t="shared" si="6"/>
        <v>329</v>
      </c>
      <c r="N44" s="141" t="str">
        <f t="shared" si="7"/>
        <v>32</v>
      </c>
      <c r="R44" s="141">
        <v>3431</v>
      </c>
      <c r="S44" s="141" t="s">
        <v>835</v>
      </c>
      <c r="U44" s="141" t="str">
        <f t="shared" si="10"/>
        <v>34</v>
      </c>
      <c r="V44" s="141" t="str">
        <f t="shared" si="11"/>
        <v>343</v>
      </c>
      <c r="X44" t="s">
        <v>836</v>
      </c>
      <c r="Y44" t="s">
        <v>837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52</v>
      </c>
      <c r="D45" s="146" t="str">
        <f t="shared" si="3"/>
        <v>Ostale pomoći</v>
      </c>
      <c r="E45" s="151">
        <v>3213</v>
      </c>
      <c r="F45" s="146" t="str">
        <f t="shared" si="4"/>
        <v>Stručno usavršavanje zaposlenika</v>
      </c>
      <c r="G45" s="184" t="s">
        <v>881</v>
      </c>
      <c r="H45" s="146" t="str">
        <f t="shared" si="5"/>
        <v>REDOVNA DJELATNOST SVEUČILIŠTA U RIJECI (IZ EVIDENCIJSKIH PRIHODA)</v>
      </c>
      <c r="I45" s="183">
        <v>10000</v>
      </c>
      <c r="J45" s="183">
        <v>10000</v>
      </c>
      <c r="K45" s="183">
        <v>10000</v>
      </c>
      <c r="M45" s="141" t="str">
        <f t="shared" si="6"/>
        <v>321</v>
      </c>
      <c r="N45" s="141" t="str">
        <f t="shared" si="7"/>
        <v>32</v>
      </c>
      <c r="R45" s="141">
        <v>3432</v>
      </c>
      <c r="S45" s="141" t="s">
        <v>838</v>
      </c>
      <c r="U45" s="141" t="str">
        <f t="shared" si="10"/>
        <v>34</v>
      </c>
      <c r="V45" s="141" t="str">
        <f t="shared" si="11"/>
        <v>343</v>
      </c>
      <c r="X45" t="s">
        <v>839</v>
      </c>
      <c r="Y45" t="s">
        <v>840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52</v>
      </c>
      <c r="D46" s="146" t="str">
        <f t="shared" si="3"/>
        <v>Ostale pomoći</v>
      </c>
      <c r="E46" s="151">
        <v>3233</v>
      </c>
      <c r="F46" s="146" t="str">
        <f t="shared" si="4"/>
        <v>Usluge promidžbe i informiranja</v>
      </c>
      <c r="G46" s="184" t="s">
        <v>881</v>
      </c>
      <c r="H46" s="146" t="str">
        <f t="shared" si="5"/>
        <v>REDOVNA DJELATNOST SVEUČILIŠTA U RIJECI (IZ EVIDENCIJSKIH PRIHODA)</v>
      </c>
      <c r="I46" s="183">
        <v>10000</v>
      </c>
      <c r="J46" s="183">
        <v>10000</v>
      </c>
      <c r="K46" s="183">
        <v>10000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841</v>
      </c>
      <c r="U46" s="141" t="str">
        <f t="shared" si="10"/>
        <v>34</v>
      </c>
      <c r="V46" s="141" t="str">
        <f t="shared" si="11"/>
        <v>343</v>
      </c>
      <c r="X46" t="s">
        <v>842</v>
      </c>
      <c r="Y46" t="s">
        <v>843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52</v>
      </c>
      <c r="D47" s="146" t="str">
        <f t="shared" si="3"/>
        <v>Ostale pomoći</v>
      </c>
      <c r="E47" s="151">
        <v>3237</v>
      </c>
      <c r="F47" s="146" t="str">
        <f t="shared" si="4"/>
        <v>Intelektualne i osobne usluge</v>
      </c>
      <c r="G47" s="184" t="s">
        <v>881</v>
      </c>
      <c r="H47" s="146" t="str">
        <f t="shared" si="5"/>
        <v>REDOVNA DJELATNOST SVEUČILIŠTA U RIJECI (IZ EVIDENCIJSKIH PRIHODA)</v>
      </c>
      <c r="I47" s="183">
        <v>17500</v>
      </c>
      <c r="J47" s="183">
        <v>17500</v>
      </c>
      <c r="K47" s="183">
        <v>17500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844</v>
      </c>
      <c r="U47" s="141" t="str">
        <f t="shared" si="10"/>
        <v>34</v>
      </c>
      <c r="V47" s="141" t="str">
        <f t="shared" si="11"/>
        <v>343</v>
      </c>
      <c r="X47" t="s">
        <v>845</v>
      </c>
      <c r="Y47" t="s">
        <v>846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52</v>
      </c>
      <c r="D48" s="146" t="str">
        <f t="shared" si="3"/>
        <v>Ostale pomoći</v>
      </c>
      <c r="E48" s="151">
        <v>3299</v>
      </c>
      <c r="F48" s="146" t="str">
        <f t="shared" si="4"/>
        <v>Ostali nespomenuti rashodi poslovanja</v>
      </c>
      <c r="G48" s="184" t="s">
        <v>881</v>
      </c>
      <c r="H48" s="146" t="str">
        <f t="shared" si="5"/>
        <v>REDOVNA DJELATNOST SVEUČILIŠTA U RIJECI (IZ EVIDENCIJSKIH PRIHODA)</v>
      </c>
      <c r="I48" s="183">
        <v>10000</v>
      </c>
      <c r="J48" s="183">
        <v>10000</v>
      </c>
      <c r="K48" s="183">
        <v>10000</v>
      </c>
      <c r="M48" s="141" t="str">
        <f t="shared" si="6"/>
        <v>329</v>
      </c>
      <c r="N48" s="141" t="str">
        <f t="shared" si="7"/>
        <v>32</v>
      </c>
      <c r="R48" s="141">
        <v>3511</v>
      </c>
      <c r="S48" s="141" t="s">
        <v>847</v>
      </c>
      <c r="U48" s="141" t="str">
        <f t="shared" si="10"/>
        <v>35</v>
      </c>
      <c r="V48" s="141" t="str">
        <f t="shared" si="11"/>
        <v>351</v>
      </c>
      <c r="X48" t="s">
        <v>848</v>
      </c>
      <c r="Y48" t="s">
        <v>849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52</v>
      </c>
      <c r="D49" s="146" t="str">
        <f t="shared" si="3"/>
        <v>Ostale pomoći</v>
      </c>
      <c r="E49" s="151">
        <v>4221</v>
      </c>
      <c r="F49" s="146" t="str">
        <f t="shared" si="4"/>
        <v>Uredska oprema i namještaj</v>
      </c>
      <c r="G49" s="184" t="s">
        <v>881</v>
      </c>
      <c r="H49" s="146" t="str">
        <f t="shared" si="5"/>
        <v>REDOVNA DJELATNOST SVEUČILIŠTA U RIJECI (IZ EVIDENCIJSKIH PRIHODA)</v>
      </c>
      <c r="I49" s="183">
        <v>20000</v>
      </c>
      <c r="J49" s="183">
        <v>20000</v>
      </c>
      <c r="K49" s="183">
        <v>20000</v>
      </c>
      <c r="M49" s="141" t="str">
        <f t="shared" si="6"/>
        <v>422</v>
      </c>
      <c r="N49" s="141" t="str">
        <f t="shared" si="7"/>
        <v>42</v>
      </c>
      <c r="R49" s="141">
        <v>3512</v>
      </c>
      <c r="S49" s="141" t="s">
        <v>850</v>
      </c>
      <c r="U49" s="141" t="str">
        <f t="shared" si="10"/>
        <v>35</v>
      </c>
      <c r="V49" s="141" t="str">
        <f t="shared" si="11"/>
        <v>351</v>
      </c>
      <c r="X49" t="s">
        <v>851</v>
      </c>
      <c r="Y49" t="s">
        <v>852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52</v>
      </c>
      <c r="D50" s="146" t="str">
        <f t="shared" si="3"/>
        <v>Ostale pomoći</v>
      </c>
      <c r="E50" s="151">
        <v>3235</v>
      </c>
      <c r="F50" s="146" t="str">
        <f t="shared" si="4"/>
        <v>Zakupnine i najamnine</v>
      </c>
      <c r="G50" s="184" t="s">
        <v>881</v>
      </c>
      <c r="H50" s="146" t="str">
        <f t="shared" si="5"/>
        <v>REDOVNA DJELATNOST SVEUČILIŠTA U RIJECI (IZ EVIDENCIJSKIH PRIHODA)</v>
      </c>
      <c r="I50" s="183">
        <v>10000</v>
      </c>
      <c r="J50" s="183">
        <v>10000</v>
      </c>
      <c r="K50" s="183">
        <v>10000</v>
      </c>
      <c r="M50" s="141" t="str">
        <f t="shared" si="6"/>
        <v>323</v>
      </c>
      <c r="N50" s="141" t="str">
        <f t="shared" si="7"/>
        <v>32</v>
      </c>
      <c r="R50" s="141">
        <v>3522</v>
      </c>
      <c r="S50" s="141" t="s">
        <v>853</v>
      </c>
      <c r="U50" s="141" t="str">
        <f t="shared" si="10"/>
        <v>35</v>
      </c>
      <c r="V50" s="141" t="str">
        <f t="shared" si="11"/>
        <v>352</v>
      </c>
      <c r="X50" t="s">
        <v>854</v>
      </c>
      <c r="Y50" t="s">
        <v>855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52</v>
      </c>
      <c r="D51" s="146" t="str">
        <f t="shared" si="3"/>
        <v>Ostale pomoći</v>
      </c>
      <c r="E51" s="151">
        <v>4241</v>
      </c>
      <c r="F51" s="146" t="str">
        <f t="shared" si="4"/>
        <v>Knjige</v>
      </c>
      <c r="G51" s="184" t="s">
        <v>881</v>
      </c>
      <c r="H51" s="146" t="str">
        <f t="shared" si="5"/>
        <v>REDOVNA DJELATNOST SVEUČILIŠTA U RIJECI (IZ EVIDENCIJSKIH PRIHODA)</v>
      </c>
      <c r="I51" s="183">
        <v>10000</v>
      </c>
      <c r="J51" s="183">
        <v>10000</v>
      </c>
      <c r="K51" s="183">
        <v>10000</v>
      </c>
      <c r="M51" s="141" t="str">
        <f t="shared" si="6"/>
        <v>424</v>
      </c>
      <c r="N51" s="141" t="str">
        <f t="shared" si="7"/>
        <v>42</v>
      </c>
      <c r="R51" s="141">
        <v>3531</v>
      </c>
      <c r="S51" s="141" t="s">
        <v>856</v>
      </c>
      <c r="U51" s="141" t="str">
        <f t="shared" si="10"/>
        <v>35</v>
      </c>
      <c r="V51" s="141" t="str">
        <f t="shared" si="11"/>
        <v>353</v>
      </c>
      <c r="X51" t="s">
        <v>857</v>
      </c>
      <c r="Y51" t="s">
        <v>858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3111</v>
      </c>
      <c r="F52" s="146" t="str">
        <f t="shared" si="4"/>
        <v>Plaće za redovan rad</v>
      </c>
      <c r="G52" s="184" t="s">
        <v>881</v>
      </c>
      <c r="H52" s="146" t="str">
        <f t="shared" si="5"/>
        <v>REDOVNA DJELATNOST SVEUČILIŠTA U RIJECI (IZ EVIDENCIJSKIH PRIHODA)</v>
      </c>
      <c r="I52" s="183">
        <v>360000</v>
      </c>
      <c r="J52" s="183">
        <v>385000</v>
      </c>
      <c r="K52" s="183">
        <v>400000</v>
      </c>
      <c r="M52" s="141" t="str">
        <f t="shared" si="6"/>
        <v>311</v>
      </c>
      <c r="N52" s="141" t="str">
        <f t="shared" si="7"/>
        <v>31</v>
      </c>
      <c r="R52" s="141">
        <v>3611</v>
      </c>
      <c r="S52" s="141" t="s">
        <v>859</v>
      </c>
      <c r="U52" s="141" t="str">
        <f t="shared" si="10"/>
        <v>36</v>
      </c>
      <c r="V52" s="141" t="str">
        <f t="shared" si="11"/>
        <v>361</v>
      </c>
      <c r="X52" t="s">
        <v>860</v>
      </c>
      <c r="Y52" t="s">
        <v>861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3121</v>
      </c>
      <c r="F53" s="146" t="str">
        <f t="shared" si="4"/>
        <v>Ostali rashodi za zaposlene</v>
      </c>
      <c r="G53" s="184" t="s">
        <v>881</v>
      </c>
      <c r="H53" s="146" t="str">
        <f t="shared" si="5"/>
        <v>REDOVNA DJELATNOST SVEUČILIŠTA U RIJECI (IZ EVIDENCIJSKIH PRIHODA)</v>
      </c>
      <c r="I53" s="183">
        <v>70000</v>
      </c>
      <c r="J53" s="183">
        <v>70000</v>
      </c>
      <c r="K53" s="183">
        <v>70000</v>
      </c>
      <c r="M53" s="141" t="str">
        <f t="shared" si="6"/>
        <v>312</v>
      </c>
      <c r="N53" s="141" t="str">
        <f t="shared" si="7"/>
        <v>31</v>
      </c>
      <c r="R53" s="141">
        <v>3621</v>
      </c>
      <c r="S53" s="141" t="s">
        <v>862</v>
      </c>
      <c r="U53" s="141" t="str">
        <f t="shared" si="10"/>
        <v>36</v>
      </c>
      <c r="V53" s="141" t="str">
        <f t="shared" si="11"/>
        <v>362</v>
      </c>
      <c r="X53" t="s">
        <v>863</v>
      </c>
      <c r="Y53" t="s">
        <v>864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3132</v>
      </c>
      <c r="F54" s="146" t="str">
        <f t="shared" si="4"/>
        <v>Doprinosi za obvezno zdravstveno osiguranje</v>
      </c>
      <c r="G54" s="184" t="s">
        <v>881</v>
      </c>
      <c r="H54" s="146" t="str">
        <f t="shared" si="5"/>
        <v>REDOVNA DJELATNOST SVEUČILIŠTA U RIJECI (IZ EVIDENCIJSKIH PRIHODA)</v>
      </c>
      <c r="I54" s="183">
        <v>59400</v>
      </c>
      <c r="J54" s="183">
        <v>63525</v>
      </c>
      <c r="K54" s="183">
        <v>66000</v>
      </c>
      <c r="M54" s="141" t="str">
        <f t="shared" si="6"/>
        <v>313</v>
      </c>
      <c r="N54" s="141" t="str">
        <f t="shared" si="7"/>
        <v>31</v>
      </c>
      <c r="R54" s="141">
        <v>3631</v>
      </c>
      <c r="S54" s="141" t="s">
        <v>865</v>
      </c>
      <c r="U54" s="141" t="str">
        <f t="shared" si="10"/>
        <v>36</v>
      </c>
      <c r="V54" s="141" t="str">
        <f t="shared" si="11"/>
        <v>363</v>
      </c>
      <c r="X54" t="s">
        <v>866</v>
      </c>
      <c r="Y54" t="s">
        <v>867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3211</v>
      </c>
      <c r="F55" s="146" t="str">
        <f t="shared" si="4"/>
        <v>Službena putovanja</v>
      </c>
      <c r="G55" s="184" t="s">
        <v>881</v>
      </c>
      <c r="H55" s="146" t="str">
        <f t="shared" si="5"/>
        <v>REDOVNA DJELATNOST SVEUČILIŠTA U RIJECI (IZ EVIDENCIJSKIH PRIHODA)</v>
      </c>
      <c r="I55" s="183">
        <v>340000</v>
      </c>
      <c r="J55" s="183">
        <v>340000</v>
      </c>
      <c r="K55" s="183">
        <v>340000</v>
      </c>
      <c r="M55" s="141" t="str">
        <f t="shared" si="6"/>
        <v>321</v>
      </c>
      <c r="N55" s="141" t="str">
        <f t="shared" si="7"/>
        <v>32</v>
      </c>
      <c r="R55" s="141">
        <v>3632</v>
      </c>
      <c r="S55" s="141" t="s">
        <v>868</v>
      </c>
      <c r="U55" s="141" t="str">
        <f t="shared" si="10"/>
        <v>36</v>
      </c>
      <c r="V55" s="141" t="str">
        <f t="shared" si="11"/>
        <v>363</v>
      </c>
      <c r="X55" t="s">
        <v>869</v>
      </c>
      <c r="Y55" t="s">
        <v>870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31</v>
      </c>
      <c r="D56" s="146" t="str">
        <f t="shared" si="3"/>
        <v>Vlastiti prihodi</v>
      </c>
      <c r="E56" s="151">
        <v>3212</v>
      </c>
      <c r="F56" s="146" t="str">
        <f t="shared" si="4"/>
        <v>Naknade za prijevoz, za rad na terenu i odvojeni život</v>
      </c>
      <c r="G56" s="184" t="s">
        <v>881</v>
      </c>
      <c r="H56" s="146" t="str">
        <f t="shared" si="5"/>
        <v>REDOVNA DJELATNOST SVEUČILIŠTA U RIJECI (IZ EVIDENCIJSKIH PRIHODA)</v>
      </c>
      <c r="I56" s="183">
        <v>13000</v>
      </c>
      <c r="J56" s="183">
        <v>13000</v>
      </c>
      <c r="K56" s="183">
        <v>13000</v>
      </c>
      <c r="M56" s="141" t="str">
        <f t="shared" si="6"/>
        <v>321</v>
      </c>
      <c r="N56" s="141" t="str">
        <f t="shared" si="7"/>
        <v>32</v>
      </c>
      <c r="R56" s="141">
        <v>3661</v>
      </c>
      <c r="S56" s="141" t="s">
        <v>871</v>
      </c>
      <c r="U56" s="141" t="str">
        <f t="shared" si="10"/>
        <v>36</v>
      </c>
      <c r="V56" s="141" t="str">
        <f t="shared" si="11"/>
        <v>366</v>
      </c>
      <c r="X56" t="s">
        <v>872</v>
      </c>
      <c r="Y56" t="s">
        <v>873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3213</v>
      </c>
      <c r="F57" s="146" t="str">
        <f t="shared" si="4"/>
        <v>Stručno usavršavanje zaposlenika</v>
      </c>
      <c r="G57" s="184" t="s">
        <v>881</v>
      </c>
      <c r="H57" s="146" t="str">
        <f t="shared" si="5"/>
        <v>REDOVNA DJELATNOST SVEUČILIŠTA U RIJECI (IZ EVIDENCIJSKIH PRIHODA)</v>
      </c>
      <c r="I57" s="183">
        <v>20000</v>
      </c>
      <c r="J57" s="183">
        <v>23000</v>
      </c>
      <c r="K57" s="183">
        <v>25000</v>
      </c>
      <c r="M57" s="141" t="str">
        <f t="shared" si="6"/>
        <v>321</v>
      </c>
      <c r="N57" s="141" t="str">
        <f t="shared" si="7"/>
        <v>32</v>
      </c>
      <c r="R57" s="141">
        <v>3662</v>
      </c>
      <c r="S57" s="141" t="s">
        <v>874</v>
      </c>
      <c r="U57" s="141" t="str">
        <f t="shared" si="10"/>
        <v>36</v>
      </c>
      <c r="V57" s="141" t="str">
        <f t="shared" si="11"/>
        <v>366</v>
      </c>
      <c r="X57" t="s">
        <v>875</v>
      </c>
      <c r="Y57" t="s">
        <v>876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3214</v>
      </c>
      <c r="F58" s="146" t="str">
        <f t="shared" si="4"/>
        <v>Ostale naknade troškova zaposlenima</v>
      </c>
      <c r="G58" s="184" t="s">
        <v>881</v>
      </c>
      <c r="H58" s="146" t="str">
        <f t="shared" si="5"/>
        <v>REDOVNA DJELATNOST SVEUČILIŠTA U RIJECI (IZ EVIDENCIJSKIH PRIHODA)</v>
      </c>
      <c r="I58" s="183">
        <v>1000</v>
      </c>
      <c r="J58" s="183">
        <v>1000</v>
      </c>
      <c r="K58" s="183">
        <v>1000</v>
      </c>
      <c r="M58" s="141" t="str">
        <f t="shared" si="6"/>
        <v>321</v>
      </c>
      <c r="N58" s="141" t="str">
        <f t="shared" si="7"/>
        <v>32</v>
      </c>
      <c r="R58" s="141">
        <v>3681</v>
      </c>
      <c r="S58" s="141" t="s">
        <v>877</v>
      </c>
      <c r="U58" s="141" t="str">
        <f t="shared" si="10"/>
        <v>36</v>
      </c>
      <c r="V58" s="141" t="str">
        <f t="shared" si="11"/>
        <v>368</v>
      </c>
      <c r="X58" t="s">
        <v>878</v>
      </c>
      <c r="Y58" t="s">
        <v>879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3221</v>
      </c>
      <c r="F59" s="146" t="str">
        <f t="shared" si="4"/>
        <v>Uredski materijal i ostali materijalni rashodi</v>
      </c>
      <c r="G59" s="184" t="s">
        <v>881</v>
      </c>
      <c r="H59" s="146" t="str">
        <f t="shared" si="5"/>
        <v>REDOVNA DJELATNOST SVEUČILIŠTA U RIJECI (IZ EVIDENCIJSKIH PRIHODA)</v>
      </c>
      <c r="I59" s="183">
        <v>2000</v>
      </c>
      <c r="J59" s="183">
        <v>2500</v>
      </c>
      <c r="K59" s="183">
        <v>3000</v>
      </c>
      <c r="M59" s="141" t="str">
        <f t="shared" si="6"/>
        <v>322</v>
      </c>
      <c r="N59" s="141" t="str">
        <f t="shared" si="7"/>
        <v>32</v>
      </c>
      <c r="R59" s="141">
        <v>3682</v>
      </c>
      <c r="S59" s="141" t="s">
        <v>880</v>
      </c>
      <c r="U59" s="141" t="str">
        <f t="shared" si="10"/>
        <v>36</v>
      </c>
      <c r="V59" s="141" t="str">
        <f t="shared" si="11"/>
        <v>368</v>
      </c>
      <c r="X59" t="s">
        <v>881</v>
      </c>
      <c r="Y59" t="s">
        <v>882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151">
        <v>3222</v>
      </c>
      <c r="F60" s="146" t="str">
        <f t="shared" si="4"/>
        <v>Materijal i sirovine</v>
      </c>
      <c r="G60" s="184" t="s">
        <v>881</v>
      </c>
      <c r="H60" s="146" t="str">
        <f t="shared" si="5"/>
        <v>REDOVNA DJELATNOST SVEUČILIŠTA U RIJECI (IZ EVIDENCIJSKIH PRIHODA)</v>
      </c>
      <c r="I60" s="183">
        <v>110000</v>
      </c>
      <c r="J60" s="183">
        <v>122525</v>
      </c>
      <c r="K60" s="183">
        <v>130000</v>
      </c>
      <c r="M60" s="141" t="str">
        <f t="shared" si="6"/>
        <v>322</v>
      </c>
      <c r="N60" s="141" t="str">
        <f t="shared" si="7"/>
        <v>32</v>
      </c>
      <c r="R60" s="141">
        <v>3691</v>
      </c>
      <c r="S60" s="141" t="s">
        <v>883</v>
      </c>
      <c r="U60" s="141" t="str">
        <f t="shared" si="10"/>
        <v>36</v>
      </c>
      <c r="V60" s="141" t="str">
        <f t="shared" si="11"/>
        <v>369</v>
      </c>
      <c r="X60" t="s">
        <v>884</v>
      </c>
      <c r="Y60" t="s">
        <v>885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3223</v>
      </c>
      <c r="F61" s="146" t="str">
        <f t="shared" si="4"/>
        <v>Energija</v>
      </c>
      <c r="G61" s="184" t="s">
        <v>881</v>
      </c>
      <c r="H61" s="146" t="str">
        <f t="shared" si="5"/>
        <v>REDOVNA DJELATNOST SVEUČILIŠTA U RIJECI (IZ EVIDENCIJSKIH PRIHODA)</v>
      </c>
      <c r="I61" s="183">
        <v>10000</v>
      </c>
      <c r="J61" s="183">
        <v>12000</v>
      </c>
      <c r="K61" s="183">
        <v>12000</v>
      </c>
      <c r="M61" s="141" t="str">
        <f t="shared" si="6"/>
        <v>322</v>
      </c>
      <c r="N61" s="141" t="str">
        <f t="shared" si="7"/>
        <v>32</v>
      </c>
      <c r="R61" s="141">
        <v>3692</v>
      </c>
      <c r="S61" s="141" t="s">
        <v>886</v>
      </c>
      <c r="U61" s="141" t="str">
        <f t="shared" si="10"/>
        <v>36</v>
      </c>
      <c r="V61" s="141" t="str">
        <f t="shared" si="11"/>
        <v>369</v>
      </c>
      <c r="X61" t="s">
        <v>887</v>
      </c>
      <c r="Y61" t="s">
        <v>888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151">
        <v>3224</v>
      </c>
      <c r="F62" s="146" t="str">
        <f t="shared" si="4"/>
        <v>Materijal i dijelovi za tekuće i investicijsko održavanje</v>
      </c>
      <c r="G62" s="184" t="s">
        <v>881</v>
      </c>
      <c r="H62" s="146" t="str">
        <f t="shared" si="5"/>
        <v>REDOVNA DJELATNOST SVEUČILIŠTA U RIJECI (IZ EVIDENCIJSKIH PRIHODA)</v>
      </c>
      <c r="I62" s="183">
        <v>50000</v>
      </c>
      <c r="J62" s="183">
        <v>55000</v>
      </c>
      <c r="K62" s="183">
        <v>60000</v>
      </c>
      <c r="M62" s="141" t="str">
        <f t="shared" si="6"/>
        <v>322</v>
      </c>
      <c r="N62" s="141" t="str">
        <f t="shared" si="7"/>
        <v>32</v>
      </c>
      <c r="R62" s="141">
        <v>3693</v>
      </c>
      <c r="S62" s="141" t="s">
        <v>883</v>
      </c>
      <c r="U62" s="141" t="str">
        <f t="shared" si="10"/>
        <v>36</v>
      </c>
      <c r="V62" s="141" t="str">
        <f t="shared" si="11"/>
        <v>369</v>
      </c>
      <c r="X62" t="s">
        <v>889</v>
      </c>
      <c r="Y62" t="s">
        <v>890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151">
        <v>3225</v>
      </c>
      <c r="F63" s="146" t="str">
        <f t="shared" si="4"/>
        <v>Sitni inventar i auto gume</v>
      </c>
      <c r="G63" s="184" t="s">
        <v>881</v>
      </c>
      <c r="H63" s="146" t="str">
        <f t="shared" si="5"/>
        <v>REDOVNA DJELATNOST SVEUČILIŠTA U RIJECI (IZ EVIDENCIJSKIH PRIHODA)</v>
      </c>
      <c r="I63" s="183">
        <v>10000</v>
      </c>
      <c r="J63" s="183">
        <v>10000</v>
      </c>
      <c r="K63" s="183">
        <v>10000</v>
      </c>
      <c r="M63" s="141" t="str">
        <f t="shared" si="6"/>
        <v>322</v>
      </c>
      <c r="N63" s="141" t="str">
        <f t="shared" si="7"/>
        <v>32</v>
      </c>
      <c r="R63" s="141">
        <v>3694</v>
      </c>
      <c r="S63" s="141" t="s">
        <v>886</v>
      </c>
      <c r="U63" s="141" t="str">
        <f t="shared" si="10"/>
        <v>36</v>
      </c>
      <c r="V63" s="141" t="str">
        <f t="shared" si="11"/>
        <v>369</v>
      </c>
      <c r="X63" t="s">
        <v>891</v>
      </c>
      <c r="Y63" t="s">
        <v>892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31</v>
      </c>
      <c r="D64" s="146" t="str">
        <f t="shared" si="3"/>
        <v>Vlastiti prihodi</v>
      </c>
      <c r="E64" s="151">
        <v>3227</v>
      </c>
      <c r="F64" s="146" t="str">
        <f t="shared" si="4"/>
        <v>Službena, radna i zaštitna odjeća i obuća</v>
      </c>
      <c r="G64" s="184" t="s">
        <v>881</v>
      </c>
      <c r="H64" s="146" t="str">
        <f t="shared" si="5"/>
        <v>REDOVNA DJELATNOST SVEUČILIŠTA U RIJECI (IZ EVIDENCIJSKIH PRIHODA)</v>
      </c>
      <c r="I64" s="183">
        <v>15000</v>
      </c>
      <c r="J64" s="183">
        <v>15000</v>
      </c>
      <c r="K64" s="183">
        <v>15000</v>
      </c>
      <c r="M64" s="141" t="str">
        <f t="shared" si="6"/>
        <v>322</v>
      </c>
      <c r="N64" s="141" t="str">
        <f t="shared" si="7"/>
        <v>32</v>
      </c>
      <c r="R64" s="141">
        <v>3711</v>
      </c>
      <c r="S64" s="141" t="s">
        <v>893</v>
      </c>
      <c r="U64" s="141" t="str">
        <f t="shared" si="10"/>
        <v>37</v>
      </c>
      <c r="V64" s="141" t="str">
        <f t="shared" si="11"/>
        <v>371</v>
      </c>
      <c r="X64" t="s">
        <v>894</v>
      </c>
      <c r="Y64" t="s">
        <v>895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31</v>
      </c>
      <c r="D65" s="146" t="str">
        <f t="shared" si="3"/>
        <v>Vlastiti prihodi</v>
      </c>
      <c r="E65" s="151">
        <v>3231</v>
      </c>
      <c r="F65" s="146" t="str">
        <f t="shared" si="4"/>
        <v>Usluge telefona, pošte i prijevoza</v>
      </c>
      <c r="G65" s="184" t="s">
        <v>881</v>
      </c>
      <c r="H65" s="146" t="str">
        <f t="shared" si="5"/>
        <v>REDOVNA DJELATNOST SVEUČILIŠTA U RIJECI (IZ EVIDENCIJSKIH PRIHODA)</v>
      </c>
      <c r="I65" s="183">
        <v>15000</v>
      </c>
      <c r="J65" s="183">
        <v>15000</v>
      </c>
      <c r="K65" s="183">
        <v>15000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896</v>
      </c>
      <c r="U65" s="141" t="str">
        <f t="shared" si="10"/>
        <v>37</v>
      </c>
      <c r="V65" s="141" t="str">
        <f t="shared" si="11"/>
        <v>371</v>
      </c>
      <c r="X65" t="s">
        <v>897</v>
      </c>
      <c r="Y65" t="s">
        <v>898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31</v>
      </c>
      <c r="D66" s="146" t="str">
        <f t="shared" si="3"/>
        <v>Vlastiti prihodi</v>
      </c>
      <c r="E66" s="151">
        <v>3232</v>
      </c>
      <c r="F66" s="146" t="str">
        <f t="shared" si="4"/>
        <v>Usluge tekućeg i investicijskog održavanja</v>
      </c>
      <c r="G66" s="184" t="s">
        <v>881</v>
      </c>
      <c r="H66" s="146" t="str">
        <f t="shared" si="5"/>
        <v>REDOVNA DJELATNOST SVEUČILIŠTA U RIJECI (IZ EVIDENCIJSKIH PRIHODA)</v>
      </c>
      <c r="I66" s="183">
        <v>250000</v>
      </c>
      <c r="J66" s="183">
        <v>280000</v>
      </c>
      <c r="K66" s="183">
        <v>300000</v>
      </c>
      <c r="M66" s="141" t="str">
        <f t="shared" si="6"/>
        <v>323</v>
      </c>
      <c r="N66" s="141" t="str">
        <f t="shared" si="7"/>
        <v>32</v>
      </c>
      <c r="R66" s="141">
        <v>3713</v>
      </c>
      <c r="S66" s="141" t="s">
        <v>899</v>
      </c>
      <c r="U66" s="141" t="str">
        <f t="shared" si="10"/>
        <v>37</v>
      </c>
      <c r="V66" s="141" t="str">
        <f t="shared" si="11"/>
        <v>371</v>
      </c>
      <c r="X66" t="s">
        <v>900</v>
      </c>
      <c r="Y66" t="s">
        <v>901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31</v>
      </c>
      <c r="D67" s="146" t="str">
        <f t="shared" si="3"/>
        <v>Vlastiti prihodi</v>
      </c>
      <c r="E67" s="151">
        <v>3232</v>
      </c>
      <c r="F67" s="146" t="str">
        <f t="shared" si="4"/>
        <v>Usluge tekućeg i investicijskog održavanja</v>
      </c>
      <c r="G67" s="184" t="s">
        <v>881</v>
      </c>
      <c r="H67" s="146" t="str">
        <f t="shared" si="5"/>
        <v>REDOVNA DJELATNOST SVEUČILIŠTA U RIJECI (IZ EVIDENCIJSKIH PRIHODA)</v>
      </c>
      <c r="I67" s="183">
        <v>10000</v>
      </c>
      <c r="J67" s="183">
        <v>10000</v>
      </c>
      <c r="K67" s="183">
        <v>10000</v>
      </c>
      <c r="M67" s="141" t="str">
        <f t="shared" si="6"/>
        <v>323</v>
      </c>
      <c r="N67" s="141" t="str">
        <f t="shared" si="7"/>
        <v>32</v>
      </c>
      <c r="R67" s="141">
        <v>3714</v>
      </c>
      <c r="S67" s="141" t="s">
        <v>902</v>
      </c>
      <c r="U67" s="141" t="str">
        <f t="shared" si="10"/>
        <v>37</v>
      </c>
      <c r="V67" s="141" t="str">
        <f t="shared" si="11"/>
        <v>371</v>
      </c>
      <c r="X67" t="s">
        <v>903</v>
      </c>
      <c r="Y67" t="s">
        <v>904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31</v>
      </c>
      <c r="D68" s="146" t="str">
        <f t="shared" ref="D68:D131" si="12">IFERROR(VLOOKUP(C68,$O$6:$P$23,2,FALSE),"")</f>
        <v>Vlastiti prihodi</v>
      </c>
      <c r="E68" s="151">
        <v>3233</v>
      </c>
      <c r="F68" s="146" t="str">
        <f t="shared" ref="F68:F131" si="13">IFERROR(VLOOKUP(E68,$R$5:$T$129,2,FALSE),"")</f>
        <v>Usluge promidžbe i informiranja</v>
      </c>
      <c r="G68" s="184" t="s">
        <v>881</v>
      </c>
      <c r="H68" s="146" t="str">
        <f t="shared" ref="H68:H131" si="14">IFERROR(VLOOKUP(G68,$X$6:$Y$200,2,FALSE),"")</f>
        <v>REDOVNA DJELATNOST SVEUČILIŠTA U RIJECI (IZ EVIDENCIJSKIH PRIHODA)</v>
      </c>
      <c r="I68" s="183">
        <v>10000</v>
      </c>
      <c r="J68" s="183">
        <v>10000</v>
      </c>
      <c r="K68" s="183">
        <v>10000</v>
      </c>
      <c r="M68" s="141" t="str">
        <f t="shared" ref="M68:M131" si="15">LEFT(E68,3)</f>
        <v>323</v>
      </c>
      <c r="N68" s="141" t="str">
        <f t="shared" ref="N68:N131" si="16">LEFT(E68,2)</f>
        <v>32</v>
      </c>
      <c r="R68" s="141">
        <v>3715</v>
      </c>
      <c r="S68" s="141" t="s">
        <v>905</v>
      </c>
      <c r="U68" s="141" t="str">
        <f t="shared" si="10"/>
        <v>37</v>
      </c>
      <c r="V68" s="141" t="str">
        <f t="shared" si="11"/>
        <v>371</v>
      </c>
      <c r="X68" t="s">
        <v>906</v>
      </c>
      <c r="Y68" t="s">
        <v>907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31</v>
      </c>
      <c r="D69" s="146" t="str">
        <f t="shared" si="12"/>
        <v>Vlastiti prihodi</v>
      </c>
      <c r="E69" s="151">
        <v>3235</v>
      </c>
      <c r="F69" s="146" t="str">
        <f t="shared" si="13"/>
        <v>Zakupnine i najamnine</v>
      </c>
      <c r="G69" s="184" t="s">
        <v>881</v>
      </c>
      <c r="H69" s="146" t="str">
        <f t="shared" si="14"/>
        <v>REDOVNA DJELATNOST SVEUČILIŠTA U RIJECI (IZ EVIDENCIJSKIH PRIHODA)</v>
      </c>
      <c r="I69" s="183">
        <v>10000</v>
      </c>
      <c r="J69" s="183">
        <v>10000</v>
      </c>
      <c r="K69" s="183">
        <v>10000</v>
      </c>
      <c r="M69" s="141" t="str">
        <f t="shared" si="15"/>
        <v>323</v>
      </c>
      <c r="N69" s="141" t="str">
        <f t="shared" si="16"/>
        <v>32</v>
      </c>
      <c r="R69" s="141">
        <v>3721</v>
      </c>
      <c r="S69" s="141" t="s">
        <v>908</v>
      </c>
      <c r="U69" s="141" t="str">
        <f t="shared" si="10"/>
        <v>37</v>
      </c>
      <c r="V69" s="141" t="str">
        <f t="shared" si="11"/>
        <v>372</v>
      </c>
      <c r="X69" t="s">
        <v>909</v>
      </c>
      <c r="Y69" t="s">
        <v>910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31</v>
      </c>
      <c r="D70" s="146" t="str">
        <f t="shared" si="12"/>
        <v>Vlastiti prihodi</v>
      </c>
      <c r="E70" s="151">
        <v>3237</v>
      </c>
      <c r="F70" s="146" t="str">
        <f t="shared" si="13"/>
        <v>Intelektualne i osobne usluge</v>
      </c>
      <c r="G70" s="184" t="s">
        <v>881</v>
      </c>
      <c r="H70" s="146" t="str">
        <f t="shared" si="14"/>
        <v>REDOVNA DJELATNOST SVEUČILIŠTA U RIJECI (IZ EVIDENCIJSKIH PRIHODA)</v>
      </c>
      <c r="I70" s="183">
        <v>308100</v>
      </c>
      <c r="J70" s="183">
        <v>350000</v>
      </c>
      <c r="K70" s="183">
        <v>363500</v>
      </c>
      <c r="M70" s="141" t="str">
        <f t="shared" si="15"/>
        <v>323</v>
      </c>
      <c r="N70" s="141" t="str">
        <f t="shared" si="16"/>
        <v>32</v>
      </c>
      <c r="R70" s="141">
        <v>3722</v>
      </c>
      <c r="S70" s="141" t="s">
        <v>911</v>
      </c>
      <c r="U70" s="141" t="str">
        <f t="shared" si="10"/>
        <v>37</v>
      </c>
      <c r="V70" s="141" t="str">
        <f t="shared" si="11"/>
        <v>372</v>
      </c>
      <c r="X70" t="s">
        <v>912</v>
      </c>
      <c r="Y70" t="s">
        <v>913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12"/>
        <v>Vlastiti prihodi</v>
      </c>
      <c r="E71" s="151">
        <v>3293</v>
      </c>
      <c r="F71" s="146" t="str">
        <f t="shared" si="13"/>
        <v>Reprezentacija</v>
      </c>
      <c r="G71" s="184" t="s">
        <v>881</v>
      </c>
      <c r="H71" s="146" t="str">
        <f t="shared" si="14"/>
        <v>REDOVNA DJELATNOST SVEUČILIŠTA U RIJECI (IZ EVIDENCIJSKIH PRIHODA)</v>
      </c>
      <c r="I71" s="183">
        <v>10000</v>
      </c>
      <c r="J71" s="183">
        <v>10000</v>
      </c>
      <c r="K71" s="183">
        <v>10000</v>
      </c>
      <c r="M71" s="141" t="str">
        <f t="shared" si="15"/>
        <v>329</v>
      </c>
      <c r="N71" s="141" t="str">
        <f t="shared" si="16"/>
        <v>32</v>
      </c>
      <c r="R71" s="141">
        <v>3723</v>
      </c>
      <c r="S71" s="141" t="s">
        <v>914</v>
      </c>
      <c r="U71" s="141" t="str">
        <f t="shared" si="10"/>
        <v>37</v>
      </c>
      <c r="V71" s="141" t="str">
        <f t="shared" si="11"/>
        <v>372</v>
      </c>
      <c r="X71" t="s">
        <v>915</v>
      </c>
      <c r="Y71" t="s">
        <v>916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31</v>
      </c>
      <c r="D72" s="146" t="str">
        <f t="shared" si="12"/>
        <v>Vlastiti prihodi</v>
      </c>
      <c r="E72" s="151">
        <v>3294</v>
      </c>
      <c r="F72" s="146" t="str">
        <f t="shared" si="13"/>
        <v>Članarine i norme</v>
      </c>
      <c r="G72" s="184" t="s">
        <v>881</v>
      </c>
      <c r="H72" s="146" t="str">
        <f t="shared" si="14"/>
        <v>REDOVNA DJELATNOST SVEUČILIŠTA U RIJECI (IZ EVIDENCIJSKIH PRIHODA)</v>
      </c>
      <c r="I72" s="183">
        <v>15000</v>
      </c>
      <c r="J72" s="183">
        <v>15000</v>
      </c>
      <c r="K72" s="183">
        <v>15000</v>
      </c>
      <c r="M72" s="141" t="str">
        <f t="shared" si="15"/>
        <v>329</v>
      </c>
      <c r="N72" s="141" t="str">
        <f t="shared" si="16"/>
        <v>32</v>
      </c>
      <c r="R72" s="141">
        <v>3811</v>
      </c>
      <c r="S72" s="141" t="s">
        <v>917</v>
      </c>
      <c r="U72" s="141" t="str">
        <f t="shared" si="10"/>
        <v>38</v>
      </c>
      <c r="V72" s="141" t="str">
        <f t="shared" si="11"/>
        <v>381</v>
      </c>
      <c r="X72" t="s">
        <v>918</v>
      </c>
      <c r="Y72" t="s">
        <v>919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31</v>
      </c>
      <c r="D73" s="146" t="str">
        <f t="shared" si="12"/>
        <v>Vlastiti prihodi</v>
      </c>
      <c r="E73" s="151">
        <v>3239</v>
      </c>
      <c r="F73" s="146" t="str">
        <f t="shared" si="13"/>
        <v>Ostale usluge</v>
      </c>
      <c r="G73" s="184" t="s">
        <v>881</v>
      </c>
      <c r="H73" s="146" t="str">
        <f t="shared" si="14"/>
        <v>REDOVNA DJELATNOST SVEUČILIŠTA U RIJECI (IZ EVIDENCIJSKIH PRIHODA)</v>
      </c>
      <c r="I73" s="183">
        <v>150000</v>
      </c>
      <c r="J73" s="183">
        <v>150000</v>
      </c>
      <c r="K73" s="183">
        <v>150000</v>
      </c>
      <c r="M73" s="141" t="str">
        <f t="shared" si="15"/>
        <v>323</v>
      </c>
      <c r="N73" s="141" t="str">
        <f t="shared" si="16"/>
        <v>32</v>
      </c>
      <c r="R73" s="141">
        <v>3812</v>
      </c>
      <c r="S73" s="141" t="s">
        <v>920</v>
      </c>
      <c r="U73" s="141" t="str">
        <f t="shared" si="10"/>
        <v>38</v>
      </c>
      <c r="V73" s="141" t="str">
        <f t="shared" si="11"/>
        <v>381</v>
      </c>
      <c r="X73" t="s">
        <v>921</v>
      </c>
      <c r="Y73" t="s">
        <v>922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31</v>
      </c>
      <c r="D74" s="146" t="str">
        <f t="shared" si="12"/>
        <v>Vlastiti prihodi</v>
      </c>
      <c r="E74" s="151">
        <v>3292</v>
      </c>
      <c r="F74" s="146" t="str">
        <f t="shared" si="13"/>
        <v>Premije osiguranja</v>
      </c>
      <c r="G74" s="184" t="s">
        <v>881</v>
      </c>
      <c r="H74" s="146" t="str">
        <f t="shared" si="14"/>
        <v>REDOVNA DJELATNOST SVEUČILIŠTA U RIJECI (IZ EVIDENCIJSKIH PRIHODA)</v>
      </c>
      <c r="I74" s="183">
        <v>35000</v>
      </c>
      <c r="J74" s="183">
        <v>35000</v>
      </c>
      <c r="K74" s="183">
        <v>35000</v>
      </c>
      <c r="M74" s="141" t="str">
        <f t="shared" si="15"/>
        <v>329</v>
      </c>
      <c r="N74" s="141" t="str">
        <f t="shared" si="16"/>
        <v>32</v>
      </c>
      <c r="R74" s="141">
        <v>3813</v>
      </c>
      <c r="S74" s="141" t="s">
        <v>923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924</v>
      </c>
      <c r="Y74" t="s">
        <v>925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31</v>
      </c>
      <c r="D75" s="146" t="str">
        <f t="shared" si="12"/>
        <v>Vlastiti prihodi</v>
      </c>
      <c r="E75" s="151">
        <v>3241</v>
      </c>
      <c r="F75" s="146" t="str">
        <f t="shared" si="13"/>
        <v>Naknade troškova osobama izvan radnog odnosa</v>
      </c>
      <c r="G75" s="184" t="s">
        <v>881</v>
      </c>
      <c r="H75" s="146" t="str">
        <f t="shared" si="14"/>
        <v>REDOVNA DJELATNOST SVEUČILIŠTA U RIJECI (IZ EVIDENCIJSKIH PRIHODA)</v>
      </c>
      <c r="I75" s="183">
        <v>1000</v>
      </c>
      <c r="J75" s="183">
        <v>1000</v>
      </c>
      <c r="K75" s="183">
        <v>1000</v>
      </c>
      <c r="M75" s="141" t="str">
        <f t="shared" si="15"/>
        <v>324</v>
      </c>
      <c r="N75" s="141" t="str">
        <f t="shared" si="16"/>
        <v>32</v>
      </c>
      <c r="R75" s="141">
        <v>3821</v>
      </c>
      <c r="S75" s="141" t="s">
        <v>926</v>
      </c>
      <c r="U75" s="141" t="str">
        <f t="shared" si="17"/>
        <v>38</v>
      </c>
      <c r="V75" s="141" t="str">
        <f t="shared" si="18"/>
        <v>382</v>
      </c>
      <c r="X75" t="s">
        <v>927</v>
      </c>
      <c r="Y75" t="s">
        <v>928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31</v>
      </c>
      <c r="D76" s="146" t="str">
        <f t="shared" si="12"/>
        <v>Vlastiti prihodi</v>
      </c>
      <c r="E76" s="151">
        <v>3294</v>
      </c>
      <c r="F76" s="146" t="str">
        <f t="shared" si="13"/>
        <v>Članarine i norme</v>
      </c>
      <c r="G76" s="184" t="s">
        <v>881</v>
      </c>
      <c r="H76" s="146" t="str">
        <f t="shared" si="14"/>
        <v>REDOVNA DJELATNOST SVEUČILIŠTA U RIJECI (IZ EVIDENCIJSKIH PRIHODA)</v>
      </c>
      <c r="I76" s="183">
        <v>7500</v>
      </c>
      <c r="J76" s="183">
        <v>7500</v>
      </c>
      <c r="K76" s="183">
        <v>7500</v>
      </c>
      <c r="M76" s="141" t="str">
        <f t="shared" si="15"/>
        <v>329</v>
      </c>
      <c r="N76" s="141" t="str">
        <f t="shared" si="16"/>
        <v>32</v>
      </c>
      <c r="R76" s="141">
        <v>3831</v>
      </c>
      <c r="S76" s="141" t="s">
        <v>929</v>
      </c>
      <c r="U76" s="141" t="str">
        <f t="shared" si="17"/>
        <v>38</v>
      </c>
      <c r="V76" s="141" t="str">
        <f t="shared" si="18"/>
        <v>383</v>
      </c>
      <c r="X76" t="s">
        <v>930</v>
      </c>
      <c r="Y76" t="s">
        <v>931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31</v>
      </c>
      <c r="D77" s="146" t="str">
        <f t="shared" si="12"/>
        <v>Vlastiti prihodi</v>
      </c>
      <c r="E77" s="151">
        <v>3299</v>
      </c>
      <c r="F77" s="146" t="str">
        <f t="shared" si="13"/>
        <v>Ostali nespomenuti rashodi poslovanja</v>
      </c>
      <c r="G77" s="184" t="s">
        <v>881</v>
      </c>
      <c r="H77" s="146" t="str">
        <f t="shared" si="14"/>
        <v>REDOVNA DJELATNOST SVEUČILIŠTA U RIJECI (IZ EVIDENCIJSKIH PRIHODA)</v>
      </c>
      <c r="I77" s="183">
        <v>20000</v>
      </c>
      <c r="J77" s="183">
        <v>20000</v>
      </c>
      <c r="K77" s="183">
        <v>20000</v>
      </c>
      <c r="M77" s="141" t="str">
        <f t="shared" si="15"/>
        <v>329</v>
      </c>
      <c r="N77" s="141" t="str">
        <f t="shared" si="16"/>
        <v>32</v>
      </c>
      <c r="R77" s="141">
        <v>3832</v>
      </c>
      <c r="S77" s="141" t="s">
        <v>932</v>
      </c>
      <c r="U77" s="141" t="str">
        <f t="shared" si="17"/>
        <v>38</v>
      </c>
      <c r="V77" s="141" t="str">
        <f t="shared" si="18"/>
        <v>383</v>
      </c>
      <c r="X77" t="s">
        <v>933</v>
      </c>
      <c r="Y77" t="s">
        <v>934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31</v>
      </c>
      <c r="D78" s="146" t="str">
        <f t="shared" si="12"/>
        <v>Vlastiti prihodi</v>
      </c>
      <c r="E78" s="151">
        <v>3431</v>
      </c>
      <c r="F78" s="146" t="str">
        <f t="shared" si="13"/>
        <v>Bankarske usluge i usluge platnog prometa</v>
      </c>
      <c r="G78" s="184" t="s">
        <v>881</v>
      </c>
      <c r="H78" s="146" t="str">
        <f t="shared" si="14"/>
        <v>REDOVNA DJELATNOST SVEUČILIŠTA U RIJECI (IZ EVIDENCIJSKIH PRIHODA)</v>
      </c>
      <c r="I78" s="183">
        <v>2000</v>
      </c>
      <c r="J78" s="183">
        <v>2000</v>
      </c>
      <c r="K78" s="183">
        <v>2000</v>
      </c>
      <c r="M78" s="141" t="str">
        <f t="shared" si="15"/>
        <v>343</v>
      </c>
      <c r="N78" s="141" t="str">
        <f t="shared" si="16"/>
        <v>34</v>
      </c>
      <c r="R78" s="141">
        <v>3833</v>
      </c>
      <c r="S78" s="141" t="s">
        <v>935</v>
      </c>
      <c r="U78" s="141" t="str">
        <f t="shared" si="17"/>
        <v>38</v>
      </c>
      <c r="V78" s="141" t="str">
        <f t="shared" si="18"/>
        <v>383</v>
      </c>
      <c r="X78" t="s">
        <v>936</v>
      </c>
      <c r="Y78" t="s">
        <v>937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31</v>
      </c>
      <c r="D79" s="146" t="str">
        <f t="shared" si="12"/>
        <v>Vlastiti prihodi</v>
      </c>
      <c r="E79" s="151">
        <v>3432</v>
      </c>
      <c r="F79" s="146" t="str">
        <f t="shared" si="13"/>
        <v>Negativne tečajne razlike i razlike zbog primjene valutne kl</v>
      </c>
      <c r="G79" s="184" t="s">
        <v>881</v>
      </c>
      <c r="H79" s="146" t="str">
        <f t="shared" si="14"/>
        <v>REDOVNA DJELATNOST SVEUČILIŠTA U RIJECI (IZ EVIDENCIJSKIH PRIHODA)</v>
      </c>
      <c r="I79" s="183">
        <v>1000</v>
      </c>
      <c r="J79" s="183">
        <v>1000</v>
      </c>
      <c r="K79" s="183">
        <v>1000</v>
      </c>
      <c r="M79" s="141" t="str">
        <f t="shared" si="15"/>
        <v>343</v>
      </c>
      <c r="N79" s="141" t="str">
        <f t="shared" si="16"/>
        <v>34</v>
      </c>
      <c r="R79" s="141">
        <v>3834</v>
      </c>
      <c r="S79" s="141" t="s">
        <v>938</v>
      </c>
      <c r="U79" s="141" t="str">
        <f t="shared" si="17"/>
        <v>38</v>
      </c>
      <c r="V79" s="141" t="str">
        <f t="shared" si="18"/>
        <v>383</v>
      </c>
      <c r="X79" t="s">
        <v>939</v>
      </c>
      <c r="Y79" t="s">
        <v>940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31</v>
      </c>
      <c r="D80" s="146" t="str">
        <f t="shared" si="12"/>
        <v>Vlastiti prihodi</v>
      </c>
      <c r="E80" s="151">
        <v>3721</v>
      </c>
      <c r="F80" s="146" t="str">
        <f t="shared" si="13"/>
        <v>Naknade građanima i kućanstvima u novcu</v>
      </c>
      <c r="G80" s="184" t="s">
        <v>881</v>
      </c>
      <c r="H80" s="146" t="str">
        <f t="shared" si="14"/>
        <v>REDOVNA DJELATNOST SVEUČILIŠTA U RIJECI (IZ EVIDENCIJSKIH PRIHODA)</v>
      </c>
      <c r="I80" s="183">
        <v>15000</v>
      </c>
      <c r="J80" s="183">
        <v>15000</v>
      </c>
      <c r="K80" s="183">
        <v>15000</v>
      </c>
      <c r="M80" s="141" t="str">
        <f t="shared" si="15"/>
        <v>372</v>
      </c>
      <c r="N80" s="141" t="str">
        <f t="shared" si="16"/>
        <v>37</v>
      </c>
      <c r="R80" s="141">
        <v>3835</v>
      </c>
      <c r="S80" s="141" t="s">
        <v>941</v>
      </c>
      <c r="U80" s="141" t="str">
        <f t="shared" si="17"/>
        <v>38</v>
      </c>
      <c r="V80" s="141" t="str">
        <f t="shared" si="18"/>
        <v>383</v>
      </c>
      <c r="X80" t="s">
        <v>942</v>
      </c>
      <c r="Y80" t="s">
        <v>943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31</v>
      </c>
      <c r="D81" s="146" t="str">
        <f t="shared" si="12"/>
        <v>Vlastiti prihodi</v>
      </c>
      <c r="E81" s="151">
        <v>4221</v>
      </c>
      <c r="F81" s="146" t="str">
        <f t="shared" si="13"/>
        <v>Uredska oprema i namještaj</v>
      </c>
      <c r="G81" s="184" t="s">
        <v>881</v>
      </c>
      <c r="H81" s="146" t="str">
        <f t="shared" si="14"/>
        <v>REDOVNA DJELATNOST SVEUČILIŠTA U RIJECI (IZ EVIDENCIJSKIH PRIHODA)</v>
      </c>
      <c r="I81" s="183">
        <v>20000</v>
      </c>
      <c r="J81" s="183">
        <v>30000</v>
      </c>
      <c r="K81" s="183">
        <v>50000</v>
      </c>
      <c r="M81" s="141" t="str">
        <f t="shared" si="15"/>
        <v>422</v>
      </c>
      <c r="N81" s="141" t="str">
        <f t="shared" si="16"/>
        <v>42</v>
      </c>
      <c r="R81" s="195">
        <v>3861</v>
      </c>
      <c r="S81" s="141" t="s">
        <v>944</v>
      </c>
      <c r="T81" s="195"/>
      <c r="U81" s="195" t="str">
        <f>LEFT(R81,2)</f>
        <v>38</v>
      </c>
      <c r="V81" s="195" t="str">
        <f>LEFT(R81,3)</f>
        <v>386</v>
      </c>
      <c r="X81" t="s">
        <v>945</v>
      </c>
      <c r="Y81" t="s">
        <v>946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31</v>
      </c>
      <c r="D82" s="146" t="str">
        <f t="shared" si="12"/>
        <v>Vlastiti prihodi</v>
      </c>
      <c r="E82" s="151">
        <v>4224</v>
      </c>
      <c r="F82" s="146" t="str">
        <f t="shared" si="13"/>
        <v>Medicinska i laboratorijska oprema</v>
      </c>
      <c r="G82" s="184" t="s">
        <v>881</v>
      </c>
      <c r="H82" s="146" t="str">
        <f t="shared" si="14"/>
        <v>REDOVNA DJELATNOST SVEUČILIŠTA U RIJECI (IZ EVIDENCIJSKIH PRIHODA)</v>
      </c>
      <c r="I82" s="183">
        <v>30000</v>
      </c>
      <c r="J82" s="183">
        <v>25000</v>
      </c>
      <c r="K82" s="183">
        <v>25000</v>
      </c>
      <c r="M82" s="141" t="str">
        <f t="shared" si="15"/>
        <v>422</v>
      </c>
      <c r="N82" s="141" t="str">
        <f t="shared" si="16"/>
        <v>42</v>
      </c>
      <c r="R82" s="194">
        <v>3862</v>
      </c>
      <c r="S82" s="141" t="s">
        <v>947</v>
      </c>
      <c r="U82" s="141" t="str">
        <f>LEFT(R82,2)</f>
        <v>38</v>
      </c>
      <c r="V82" s="141" t="str">
        <f>LEFT(R82,3)</f>
        <v>386</v>
      </c>
      <c r="X82" t="s">
        <v>948</v>
      </c>
      <c r="Y82" t="s">
        <v>949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31</v>
      </c>
      <c r="D83" s="146" t="str">
        <f t="shared" si="12"/>
        <v>Vlastiti prihodi</v>
      </c>
      <c r="E83" s="151">
        <v>4225</v>
      </c>
      <c r="F83" s="146" t="str">
        <f t="shared" si="13"/>
        <v>Instrumenti, uređaji i strojevi</v>
      </c>
      <c r="G83" s="184" t="s">
        <v>881</v>
      </c>
      <c r="H83" s="146" t="str">
        <f t="shared" si="14"/>
        <v>REDOVNA DJELATNOST SVEUČILIŠTA U RIJECI (IZ EVIDENCIJSKIH PRIHODA)</v>
      </c>
      <c r="I83" s="183">
        <v>30000</v>
      </c>
      <c r="J83" s="183">
        <v>25000</v>
      </c>
      <c r="K83" s="183">
        <v>20000</v>
      </c>
      <c r="M83" s="141" t="str">
        <f t="shared" si="15"/>
        <v>422</v>
      </c>
      <c r="N83" s="141" t="str">
        <f t="shared" si="16"/>
        <v>42</v>
      </c>
      <c r="R83" s="194">
        <v>3863</v>
      </c>
      <c r="S83" s="141" t="s">
        <v>950</v>
      </c>
      <c r="U83" s="141" t="str">
        <f>LEFT(R83,2)</f>
        <v>38</v>
      </c>
      <c r="V83" s="141" t="str">
        <f>LEFT(R83,3)</f>
        <v>386</v>
      </c>
      <c r="X83" t="s">
        <v>951</v>
      </c>
      <c r="Y83" t="s">
        <v>952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31</v>
      </c>
      <c r="D84" s="146" t="str">
        <f t="shared" si="12"/>
        <v>Vlastiti prihodi</v>
      </c>
      <c r="E84" s="151">
        <v>4241</v>
      </c>
      <c r="F84" s="146" t="str">
        <f t="shared" si="13"/>
        <v>Knjige</v>
      </c>
      <c r="G84" s="184" t="s">
        <v>881</v>
      </c>
      <c r="H84" s="146" t="str">
        <f t="shared" si="14"/>
        <v>REDOVNA DJELATNOST SVEUČILIŠTA U RIJECI (IZ EVIDENCIJSKIH PRIHODA)</v>
      </c>
      <c r="I84" s="183">
        <v>5000</v>
      </c>
      <c r="J84" s="183">
        <v>5950</v>
      </c>
      <c r="K84" s="183">
        <v>5000</v>
      </c>
      <c r="M84" s="141" t="str">
        <f t="shared" si="15"/>
        <v>424</v>
      </c>
      <c r="N84" s="141" t="str">
        <f t="shared" si="16"/>
        <v>42</v>
      </c>
      <c r="R84" s="141">
        <v>4111</v>
      </c>
      <c r="S84" s="141" t="s">
        <v>953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954</v>
      </c>
      <c r="Y84" t="s">
        <v>955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31</v>
      </c>
      <c r="D85" s="146" t="str">
        <f t="shared" si="12"/>
        <v>Vlastiti prihodi</v>
      </c>
      <c r="E85" s="151">
        <v>4262</v>
      </c>
      <c r="F85" s="146" t="str">
        <f t="shared" si="13"/>
        <v>Ulaganja u računalne programe</v>
      </c>
      <c r="G85" s="184" t="s">
        <v>881</v>
      </c>
      <c r="H85" s="146" t="str">
        <f t="shared" si="14"/>
        <v>REDOVNA DJELATNOST SVEUČILIŠTA U RIJECI (IZ EVIDENCIJSKIH PRIHODA)</v>
      </c>
      <c r="I85" s="183">
        <v>20000</v>
      </c>
      <c r="J85" s="183">
        <v>20000</v>
      </c>
      <c r="K85" s="183">
        <v>30000</v>
      </c>
      <c r="M85" s="141" t="str">
        <f t="shared" si="15"/>
        <v>426</v>
      </c>
      <c r="N85" s="141" t="str">
        <f t="shared" si="16"/>
        <v>42</v>
      </c>
      <c r="R85" s="141">
        <v>4113</v>
      </c>
      <c r="S85" s="141" t="s">
        <v>956</v>
      </c>
      <c r="U85" s="141" t="str">
        <f t="shared" si="19"/>
        <v>41</v>
      </c>
      <c r="V85" s="141" t="str">
        <f t="shared" si="20"/>
        <v>411</v>
      </c>
      <c r="X85" t="s">
        <v>957</v>
      </c>
      <c r="Y85" t="s">
        <v>958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2"/>
        <v>Ostali prihodi za posebne namjene</v>
      </c>
      <c r="E86" s="151">
        <v>3111</v>
      </c>
      <c r="F86" s="146" t="str">
        <f t="shared" si="13"/>
        <v>Plaće za redovan rad</v>
      </c>
      <c r="G86" s="184" t="s">
        <v>881</v>
      </c>
      <c r="H86" s="146" t="str">
        <f t="shared" si="14"/>
        <v>REDOVNA DJELATNOST SVEUČILIŠTA U RIJECI (IZ EVIDENCIJSKIH PRIHODA)</v>
      </c>
      <c r="I86" s="183">
        <v>300000</v>
      </c>
      <c r="J86" s="183">
        <v>337500</v>
      </c>
      <c r="K86" s="183">
        <v>315000</v>
      </c>
      <c r="M86" s="141" t="str">
        <f t="shared" si="15"/>
        <v>311</v>
      </c>
      <c r="N86" s="141" t="str">
        <f t="shared" si="16"/>
        <v>31</v>
      </c>
      <c r="R86" s="141">
        <v>4122</v>
      </c>
      <c r="S86" s="141" t="s">
        <v>959</v>
      </c>
      <c r="U86" s="141" t="str">
        <f t="shared" si="19"/>
        <v>41</v>
      </c>
      <c r="V86" s="141" t="str">
        <f t="shared" si="20"/>
        <v>412</v>
      </c>
      <c r="X86" t="s">
        <v>960</v>
      </c>
      <c r="Y86" t="s">
        <v>961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2"/>
        <v>Ostali prihodi za posebne namjene</v>
      </c>
      <c r="E87" s="151">
        <v>3121</v>
      </c>
      <c r="F87" s="146" t="str">
        <f t="shared" si="13"/>
        <v>Ostali rashodi za zaposlene</v>
      </c>
      <c r="G87" s="184" t="s">
        <v>881</v>
      </c>
      <c r="H87" s="146" t="str">
        <f t="shared" si="14"/>
        <v>REDOVNA DJELATNOST SVEUČILIŠTA U RIJECI (IZ EVIDENCIJSKIH PRIHODA)</v>
      </c>
      <c r="I87" s="183">
        <v>60000</v>
      </c>
      <c r="J87" s="183">
        <v>60000</v>
      </c>
      <c r="K87" s="183">
        <v>60000</v>
      </c>
      <c r="M87" s="141" t="str">
        <f t="shared" si="15"/>
        <v>312</v>
      </c>
      <c r="N87" s="141" t="str">
        <f t="shared" si="16"/>
        <v>31</v>
      </c>
      <c r="R87" s="141">
        <v>4123</v>
      </c>
      <c r="S87" s="141" t="s">
        <v>962</v>
      </c>
      <c r="U87" s="141" t="str">
        <f t="shared" si="19"/>
        <v>41</v>
      </c>
      <c r="V87" s="141" t="str">
        <f t="shared" si="20"/>
        <v>412</v>
      </c>
      <c r="X87" t="s">
        <v>963</v>
      </c>
      <c r="Y87" t="s">
        <v>964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43</v>
      </c>
      <c r="D88" s="146" t="str">
        <f t="shared" si="12"/>
        <v>Ostali prihodi za posebne namjene</v>
      </c>
      <c r="E88" s="151">
        <v>3132</v>
      </c>
      <c r="F88" s="146" t="str">
        <f t="shared" si="13"/>
        <v>Doprinosi za obvezno zdravstveno osiguranje</v>
      </c>
      <c r="G88" s="184" t="s">
        <v>881</v>
      </c>
      <c r="H88" s="146" t="str">
        <f t="shared" si="14"/>
        <v>REDOVNA DJELATNOST SVEUČILIŠTA U RIJECI (IZ EVIDENCIJSKIH PRIHODA)</v>
      </c>
      <c r="I88" s="183">
        <v>49500</v>
      </c>
      <c r="J88" s="183">
        <v>55750</v>
      </c>
      <c r="K88" s="183">
        <v>51975</v>
      </c>
      <c r="M88" s="141" t="str">
        <f t="shared" si="15"/>
        <v>313</v>
      </c>
      <c r="N88" s="141" t="str">
        <f t="shared" si="16"/>
        <v>31</v>
      </c>
      <c r="R88" s="141">
        <v>4124</v>
      </c>
      <c r="S88" s="141" t="s">
        <v>965</v>
      </c>
      <c r="U88" s="141" t="str">
        <f t="shared" si="19"/>
        <v>41</v>
      </c>
      <c r="V88" s="141" t="str">
        <f t="shared" si="20"/>
        <v>412</v>
      </c>
      <c r="X88" t="s">
        <v>966</v>
      </c>
      <c r="Y88" t="s">
        <v>967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43</v>
      </c>
      <c r="D89" s="146" t="str">
        <f t="shared" si="12"/>
        <v>Ostali prihodi za posebne namjene</v>
      </c>
      <c r="E89" s="151">
        <v>3211</v>
      </c>
      <c r="F89" s="146" t="str">
        <f t="shared" si="13"/>
        <v>Službena putovanja</v>
      </c>
      <c r="G89" s="184" t="s">
        <v>881</v>
      </c>
      <c r="H89" s="146" t="str">
        <f t="shared" si="14"/>
        <v>REDOVNA DJELATNOST SVEUČILIŠTA U RIJECI (IZ EVIDENCIJSKIH PRIHODA)</v>
      </c>
      <c r="I89" s="183">
        <v>30000</v>
      </c>
      <c r="J89" s="183">
        <v>40000</v>
      </c>
      <c r="K89" s="183">
        <v>40000</v>
      </c>
      <c r="M89" s="141" t="str">
        <f t="shared" si="15"/>
        <v>321</v>
      </c>
      <c r="N89" s="141" t="str">
        <f t="shared" si="16"/>
        <v>32</v>
      </c>
      <c r="R89" s="141">
        <v>4126</v>
      </c>
      <c r="S89" s="141" t="s">
        <v>968</v>
      </c>
      <c r="U89" s="141" t="str">
        <f t="shared" si="19"/>
        <v>41</v>
      </c>
      <c r="V89" s="141" t="str">
        <f t="shared" si="20"/>
        <v>412</v>
      </c>
      <c r="X89" t="s">
        <v>969</v>
      </c>
      <c r="Y89" t="s">
        <v>970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43</v>
      </c>
      <c r="D90" s="146" t="str">
        <f t="shared" si="12"/>
        <v>Ostali prihodi za posebne namjene</v>
      </c>
      <c r="E90" s="151">
        <v>3213</v>
      </c>
      <c r="F90" s="146" t="str">
        <f t="shared" si="13"/>
        <v>Stručno usavršavanje zaposlenika</v>
      </c>
      <c r="G90" s="184" t="s">
        <v>881</v>
      </c>
      <c r="H90" s="146" t="str">
        <f t="shared" si="14"/>
        <v>REDOVNA DJELATNOST SVEUČILIŠTA U RIJECI (IZ EVIDENCIJSKIH PRIHODA)</v>
      </c>
      <c r="I90" s="183">
        <v>10000</v>
      </c>
      <c r="J90" s="183">
        <v>10000</v>
      </c>
      <c r="K90" s="183">
        <v>10000</v>
      </c>
      <c r="M90" s="141" t="str">
        <f t="shared" si="15"/>
        <v>321</v>
      </c>
      <c r="N90" s="141" t="str">
        <f t="shared" si="16"/>
        <v>32</v>
      </c>
      <c r="R90" s="141">
        <v>4211</v>
      </c>
      <c r="S90" s="141" t="s">
        <v>971</v>
      </c>
      <c r="U90" s="141" t="str">
        <f t="shared" si="19"/>
        <v>42</v>
      </c>
      <c r="V90" s="141" t="str">
        <f t="shared" si="20"/>
        <v>421</v>
      </c>
      <c r="X90" t="s">
        <v>972</v>
      </c>
      <c r="Y90" t="s">
        <v>973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43</v>
      </c>
      <c r="D91" s="146" t="str">
        <f t="shared" si="12"/>
        <v>Ostali prihodi za posebne namjene</v>
      </c>
      <c r="E91" s="151">
        <v>3214</v>
      </c>
      <c r="F91" s="146" t="str">
        <f t="shared" si="13"/>
        <v>Ostale naknade troškova zaposlenima</v>
      </c>
      <c r="G91" s="184" t="s">
        <v>881</v>
      </c>
      <c r="H91" s="146" t="str">
        <f t="shared" si="14"/>
        <v>REDOVNA DJELATNOST SVEUČILIŠTA U RIJECI (IZ EVIDENCIJSKIH PRIHODA)</v>
      </c>
      <c r="I91" s="183">
        <v>1000</v>
      </c>
      <c r="J91" s="183">
        <v>1000</v>
      </c>
      <c r="K91" s="183">
        <v>1000</v>
      </c>
      <c r="M91" s="141" t="str">
        <f t="shared" si="15"/>
        <v>321</v>
      </c>
      <c r="N91" s="141" t="str">
        <f t="shared" si="16"/>
        <v>32</v>
      </c>
      <c r="R91" s="141">
        <v>4212</v>
      </c>
      <c r="S91" s="141" t="s">
        <v>974</v>
      </c>
      <c r="U91" s="141" t="str">
        <f t="shared" si="19"/>
        <v>42</v>
      </c>
      <c r="V91" s="141" t="str">
        <f t="shared" si="20"/>
        <v>421</v>
      </c>
      <c r="X91" t="s">
        <v>975</v>
      </c>
      <c r="Y91" t="s">
        <v>976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43</v>
      </c>
      <c r="D92" s="146" t="str">
        <f t="shared" si="12"/>
        <v>Ostali prihodi za posebne namjene</v>
      </c>
      <c r="E92" s="151">
        <v>3221</v>
      </c>
      <c r="F92" s="146" t="str">
        <f t="shared" si="13"/>
        <v>Uredski materijal i ostali materijalni rashodi</v>
      </c>
      <c r="G92" s="184" t="s">
        <v>881</v>
      </c>
      <c r="H92" s="146" t="str">
        <f t="shared" si="14"/>
        <v>REDOVNA DJELATNOST SVEUČILIŠTA U RIJECI (IZ EVIDENCIJSKIH PRIHODA)</v>
      </c>
      <c r="I92" s="183">
        <v>137555</v>
      </c>
      <c r="J92" s="183">
        <v>150000</v>
      </c>
      <c r="K92" s="183">
        <v>140000</v>
      </c>
      <c r="M92" s="141" t="str">
        <f t="shared" si="15"/>
        <v>322</v>
      </c>
      <c r="N92" s="141" t="str">
        <f t="shared" si="16"/>
        <v>32</v>
      </c>
      <c r="R92" s="141">
        <v>4213</v>
      </c>
      <c r="S92" s="141" t="s">
        <v>977</v>
      </c>
      <c r="U92" s="141" t="str">
        <f t="shared" si="19"/>
        <v>42</v>
      </c>
      <c r="V92" s="141" t="str">
        <f t="shared" si="20"/>
        <v>421</v>
      </c>
      <c r="X92" t="s">
        <v>978</v>
      </c>
      <c r="Y92" t="s">
        <v>979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43</v>
      </c>
      <c r="D93" s="146" t="str">
        <f t="shared" si="12"/>
        <v>Ostali prihodi za posebne namjene</v>
      </c>
      <c r="E93" s="151">
        <v>3222</v>
      </c>
      <c r="F93" s="146" t="str">
        <f t="shared" si="13"/>
        <v>Materijal i sirovine</v>
      </c>
      <c r="G93" s="184" t="s">
        <v>881</v>
      </c>
      <c r="H93" s="146" t="str">
        <f t="shared" si="14"/>
        <v>REDOVNA DJELATNOST SVEUČILIŠTA U RIJECI (IZ EVIDENCIJSKIH PRIHODA)</v>
      </c>
      <c r="I93" s="183">
        <v>10000</v>
      </c>
      <c r="J93" s="183">
        <v>10000</v>
      </c>
      <c r="K93" s="183">
        <v>10000</v>
      </c>
      <c r="M93" s="141" t="str">
        <f t="shared" si="15"/>
        <v>322</v>
      </c>
      <c r="N93" s="141" t="str">
        <f t="shared" si="16"/>
        <v>32</v>
      </c>
      <c r="R93" s="141">
        <v>4214</v>
      </c>
      <c r="S93" s="141" t="s">
        <v>980</v>
      </c>
      <c r="U93" s="141" t="str">
        <f t="shared" si="19"/>
        <v>42</v>
      </c>
      <c r="V93" s="141" t="str">
        <f t="shared" si="20"/>
        <v>421</v>
      </c>
      <c r="X93" t="s">
        <v>981</v>
      </c>
      <c r="Y93" t="s">
        <v>982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43</v>
      </c>
      <c r="D94" s="146" t="str">
        <f t="shared" si="12"/>
        <v>Ostali prihodi za posebne namjene</v>
      </c>
      <c r="E94" s="151">
        <v>3223</v>
      </c>
      <c r="F94" s="146" t="str">
        <f t="shared" si="13"/>
        <v>Energija</v>
      </c>
      <c r="G94" s="184" t="s">
        <v>881</v>
      </c>
      <c r="H94" s="146" t="str">
        <f t="shared" si="14"/>
        <v>REDOVNA DJELATNOST SVEUČILIŠTA U RIJECI (IZ EVIDENCIJSKIH PRIHODA)</v>
      </c>
      <c r="I94" s="183">
        <v>300000</v>
      </c>
      <c r="J94" s="183">
        <v>300000</v>
      </c>
      <c r="K94" s="183">
        <v>300000</v>
      </c>
      <c r="M94" s="141" t="str">
        <f t="shared" si="15"/>
        <v>322</v>
      </c>
      <c r="N94" s="141" t="str">
        <f t="shared" si="16"/>
        <v>32</v>
      </c>
      <c r="R94" s="141">
        <v>4221</v>
      </c>
      <c r="S94" s="141" t="s">
        <v>983</v>
      </c>
      <c r="U94" s="141" t="str">
        <f t="shared" si="19"/>
        <v>42</v>
      </c>
      <c r="V94" s="141" t="str">
        <f t="shared" si="20"/>
        <v>422</v>
      </c>
      <c r="X94" t="s">
        <v>984</v>
      </c>
      <c r="Y94" t="s">
        <v>985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43</v>
      </c>
      <c r="D95" s="146" t="str">
        <f t="shared" si="12"/>
        <v>Ostali prihodi za posebne namjene</v>
      </c>
      <c r="E95" s="151">
        <v>3224</v>
      </c>
      <c r="F95" s="146" t="str">
        <f t="shared" si="13"/>
        <v>Materijal i dijelovi za tekuće i investicijsko održavanje</v>
      </c>
      <c r="G95" s="184" t="s">
        <v>881</v>
      </c>
      <c r="H95" s="146" t="str">
        <f t="shared" si="14"/>
        <v>REDOVNA DJELATNOST SVEUČILIŠTA U RIJECI (IZ EVIDENCIJSKIH PRIHODA)</v>
      </c>
      <c r="I95" s="183">
        <v>10000</v>
      </c>
      <c r="J95" s="183">
        <v>10000</v>
      </c>
      <c r="K95" s="183">
        <v>10000</v>
      </c>
      <c r="M95" s="141" t="str">
        <f t="shared" si="15"/>
        <v>322</v>
      </c>
      <c r="N95" s="141" t="str">
        <f t="shared" si="16"/>
        <v>32</v>
      </c>
      <c r="R95" s="141">
        <v>4222</v>
      </c>
      <c r="S95" s="141" t="s">
        <v>986</v>
      </c>
      <c r="U95" s="141" t="str">
        <f t="shared" si="19"/>
        <v>42</v>
      </c>
      <c r="V95" s="141" t="str">
        <f t="shared" si="20"/>
        <v>422</v>
      </c>
      <c r="X95" t="s">
        <v>987</v>
      </c>
      <c r="Y95" t="s">
        <v>988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43</v>
      </c>
      <c r="D96" s="146" t="str">
        <f t="shared" si="12"/>
        <v>Ostali prihodi za posebne namjene</v>
      </c>
      <c r="E96" s="151">
        <v>3225</v>
      </c>
      <c r="F96" s="146" t="str">
        <f t="shared" si="13"/>
        <v>Sitni inventar i auto gume</v>
      </c>
      <c r="G96" s="184" t="s">
        <v>881</v>
      </c>
      <c r="H96" s="146" t="str">
        <f t="shared" si="14"/>
        <v>REDOVNA DJELATNOST SVEUČILIŠTA U RIJECI (IZ EVIDENCIJSKIH PRIHODA)</v>
      </c>
      <c r="I96" s="183">
        <v>6525</v>
      </c>
      <c r="J96" s="183">
        <v>6525</v>
      </c>
      <c r="K96" s="183">
        <v>6582</v>
      </c>
      <c r="M96" s="141" t="str">
        <f t="shared" si="15"/>
        <v>322</v>
      </c>
      <c r="N96" s="141" t="str">
        <f t="shared" si="16"/>
        <v>32</v>
      </c>
      <c r="R96" s="141">
        <v>4223</v>
      </c>
      <c r="S96" s="141" t="s">
        <v>989</v>
      </c>
      <c r="U96" s="141" t="str">
        <f t="shared" si="19"/>
        <v>42</v>
      </c>
      <c r="V96" s="141" t="str">
        <f t="shared" si="20"/>
        <v>422</v>
      </c>
      <c r="X96" t="s">
        <v>990</v>
      </c>
      <c r="Y96" t="s">
        <v>991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43</v>
      </c>
      <c r="D97" s="146" t="str">
        <f t="shared" si="12"/>
        <v>Ostali prihodi za posebne namjene</v>
      </c>
      <c r="E97" s="151">
        <v>3231</v>
      </c>
      <c r="F97" s="146" t="str">
        <f t="shared" si="13"/>
        <v>Usluge telefona, pošte i prijevoza</v>
      </c>
      <c r="G97" s="184" t="s">
        <v>881</v>
      </c>
      <c r="H97" s="146" t="str">
        <f t="shared" si="14"/>
        <v>REDOVNA DJELATNOST SVEUČILIŠTA U RIJECI (IZ EVIDENCIJSKIH PRIHODA)</v>
      </c>
      <c r="I97" s="183">
        <v>85000</v>
      </c>
      <c r="J97" s="183">
        <v>85000</v>
      </c>
      <c r="K97" s="183">
        <v>85000</v>
      </c>
      <c r="M97" s="141" t="str">
        <f t="shared" si="15"/>
        <v>323</v>
      </c>
      <c r="N97" s="141" t="str">
        <f t="shared" si="16"/>
        <v>32</v>
      </c>
      <c r="R97" s="141">
        <v>4224</v>
      </c>
      <c r="S97" s="141" t="s">
        <v>992</v>
      </c>
      <c r="U97" s="141" t="str">
        <f t="shared" si="19"/>
        <v>42</v>
      </c>
      <c r="V97" s="141" t="str">
        <f t="shared" si="20"/>
        <v>422</v>
      </c>
      <c r="X97" t="s">
        <v>993</v>
      </c>
      <c r="Y97" t="s">
        <v>994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43</v>
      </c>
      <c r="D98" s="146" t="str">
        <f t="shared" si="12"/>
        <v>Ostali prihodi za posebne namjene</v>
      </c>
      <c r="E98" s="151">
        <v>3232</v>
      </c>
      <c r="F98" s="146" t="str">
        <f t="shared" si="13"/>
        <v>Usluge tekućeg i investicijskog održavanja</v>
      </c>
      <c r="G98" s="184" t="s">
        <v>881</v>
      </c>
      <c r="H98" s="146" t="str">
        <f t="shared" si="14"/>
        <v>REDOVNA DJELATNOST SVEUČILIŠTA U RIJECI (IZ EVIDENCIJSKIH PRIHODA)</v>
      </c>
      <c r="I98" s="183">
        <v>300000</v>
      </c>
      <c r="J98" s="183">
        <v>342825</v>
      </c>
      <c r="K98" s="183">
        <v>250000</v>
      </c>
      <c r="M98" s="141" t="str">
        <f t="shared" si="15"/>
        <v>323</v>
      </c>
      <c r="N98" s="141" t="str">
        <f t="shared" si="16"/>
        <v>32</v>
      </c>
      <c r="R98" s="141">
        <v>4225</v>
      </c>
      <c r="S98" s="141" t="s">
        <v>995</v>
      </c>
      <c r="U98" s="141" t="str">
        <f t="shared" si="19"/>
        <v>42</v>
      </c>
      <c r="V98" s="141" t="str">
        <f t="shared" si="20"/>
        <v>422</v>
      </c>
      <c r="X98" t="s">
        <v>996</v>
      </c>
      <c r="Y98" t="s">
        <v>997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43</v>
      </c>
      <c r="D99" s="146" t="str">
        <f t="shared" si="12"/>
        <v>Ostali prihodi za posebne namjene</v>
      </c>
      <c r="E99" s="151">
        <v>3233</v>
      </c>
      <c r="F99" s="146" t="str">
        <f t="shared" si="13"/>
        <v>Usluge promidžbe i informiranja</v>
      </c>
      <c r="G99" s="184" t="s">
        <v>881</v>
      </c>
      <c r="H99" s="146" t="str">
        <f t="shared" si="14"/>
        <v>REDOVNA DJELATNOST SVEUČILIŠTA U RIJECI (IZ EVIDENCIJSKIH PRIHODA)</v>
      </c>
      <c r="I99" s="183">
        <v>40000</v>
      </c>
      <c r="J99" s="183">
        <v>40000</v>
      </c>
      <c r="K99" s="183">
        <v>40000</v>
      </c>
      <c r="M99" s="141" t="str">
        <f t="shared" si="15"/>
        <v>323</v>
      </c>
      <c r="N99" s="141" t="str">
        <f t="shared" si="16"/>
        <v>32</v>
      </c>
      <c r="R99" s="141">
        <v>4226</v>
      </c>
      <c r="S99" s="141" t="s">
        <v>998</v>
      </c>
      <c r="U99" s="141" t="str">
        <f t="shared" si="19"/>
        <v>42</v>
      </c>
      <c r="V99" s="141" t="str">
        <f t="shared" si="20"/>
        <v>422</v>
      </c>
      <c r="X99" t="s">
        <v>999</v>
      </c>
      <c r="Y99" t="s">
        <v>1000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43</v>
      </c>
      <c r="D100" s="146" t="str">
        <f t="shared" si="12"/>
        <v>Ostali prihodi za posebne namjene</v>
      </c>
      <c r="E100" s="151">
        <v>3234</v>
      </c>
      <c r="F100" s="146" t="str">
        <f t="shared" si="13"/>
        <v>Komunalne usluge</v>
      </c>
      <c r="G100" s="184" t="s">
        <v>881</v>
      </c>
      <c r="H100" s="146" t="str">
        <f t="shared" si="14"/>
        <v>REDOVNA DJELATNOST SVEUČILIŠTA U RIJECI (IZ EVIDENCIJSKIH PRIHODA)</v>
      </c>
      <c r="I100" s="183">
        <v>56000</v>
      </c>
      <c r="J100" s="183">
        <v>56000</v>
      </c>
      <c r="K100" s="183">
        <v>56000</v>
      </c>
      <c r="M100" s="141" t="str">
        <f t="shared" si="15"/>
        <v>323</v>
      </c>
      <c r="N100" s="141" t="str">
        <f t="shared" si="16"/>
        <v>32</v>
      </c>
      <c r="R100" s="141">
        <v>4227</v>
      </c>
      <c r="S100" s="141" t="s">
        <v>1001</v>
      </c>
      <c r="U100" s="141" t="str">
        <f t="shared" si="19"/>
        <v>42</v>
      </c>
      <c r="V100" s="141" t="str">
        <f t="shared" si="20"/>
        <v>422</v>
      </c>
      <c r="X100" t="s">
        <v>1002</v>
      </c>
      <c r="Y100" t="s">
        <v>1003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43</v>
      </c>
      <c r="D101" s="146" t="str">
        <f t="shared" si="12"/>
        <v>Ostali prihodi za posebne namjene</v>
      </c>
      <c r="E101" s="151">
        <v>3235</v>
      </c>
      <c r="F101" s="146" t="str">
        <f t="shared" si="13"/>
        <v>Zakupnine i najamnine</v>
      </c>
      <c r="G101" s="184" t="s">
        <v>881</v>
      </c>
      <c r="H101" s="146" t="str">
        <f t="shared" si="14"/>
        <v>REDOVNA DJELATNOST SVEUČILIŠTA U RIJECI (IZ EVIDENCIJSKIH PRIHODA)</v>
      </c>
      <c r="I101" s="183">
        <v>50000</v>
      </c>
      <c r="J101" s="183">
        <v>70000</v>
      </c>
      <c r="K101" s="183">
        <v>50000</v>
      </c>
      <c r="M101" s="141" t="str">
        <f t="shared" si="15"/>
        <v>323</v>
      </c>
      <c r="N101" s="141" t="str">
        <f t="shared" si="16"/>
        <v>32</v>
      </c>
      <c r="R101" s="141">
        <v>4231</v>
      </c>
      <c r="S101" s="141" t="s">
        <v>1004</v>
      </c>
      <c r="U101" s="141" t="str">
        <f t="shared" si="19"/>
        <v>42</v>
      </c>
      <c r="V101" s="141" t="str">
        <f t="shared" si="20"/>
        <v>423</v>
      </c>
      <c r="X101" t="s">
        <v>1005</v>
      </c>
      <c r="Y101" t="s">
        <v>1006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43</v>
      </c>
      <c r="D102" s="146" t="str">
        <f t="shared" si="12"/>
        <v>Ostali prihodi za posebne namjene</v>
      </c>
      <c r="E102" s="151">
        <v>3236</v>
      </c>
      <c r="F102" s="146" t="str">
        <f t="shared" si="13"/>
        <v>Zdravstvene i veterinarske usluge</v>
      </c>
      <c r="G102" s="184" t="s">
        <v>881</v>
      </c>
      <c r="H102" s="146" t="str">
        <f t="shared" si="14"/>
        <v>REDOVNA DJELATNOST SVEUČILIŠTA U RIJECI (IZ EVIDENCIJSKIH PRIHODA)</v>
      </c>
      <c r="I102" s="183">
        <v>10000</v>
      </c>
      <c r="J102" s="183">
        <v>10000</v>
      </c>
      <c r="K102" s="183">
        <v>10000</v>
      </c>
      <c r="M102" s="141" t="str">
        <f t="shared" si="15"/>
        <v>323</v>
      </c>
      <c r="N102" s="141" t="str">
        <f t="shared" si="16"/>
        <v>32</v>
      </c>
      <c r="R102" s="141">
        <v>4233</v>
      </c>
      <c r="S102" s="141" t="s">
        <v>1007</v>
      </c>
      <c r="U102" s="141" t="str">
        <f t="shared" ref="U102:U129" si="21">LEFT(R102,2)</f>
        <v>42</v>
      </c>
      <c r="V102" s="141" t="str">
        <f t="shared" si="20"/>
        <v>423</v>
      </c>
      <c r="X102" t="s">
        <v>1008</v>
      </c>
      <c r="Y102" t="s">
        <v>1009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43</v>
      </c>
      <c r="D103" s="146" t="str">
        <f t="shared" si="12"/>
        <v>Ostali prihodi za posebne namjene</v>
      </c>
      <c r="E103" s="151">
        <v>3237</v>
      </c>
      <c r="F103" s="146" t="str">
        <f t="shared" si="13"/>
        <v>Intelektualne i osobne usluge</v>
      </c>
      <c r="G103" s="184" t="s">
        <v>881</v>
      </c>
      <c r="H103" s="146" t="str">
        <f t="shared" si="14"/>
        <v>REDOVNA DJELATNOST SVEUČILIŠTA U RIJECI (IZ EVIDENCIJSKIH PRIHODA)</v>
      </c>
      <c r="I103" s="183">
        <v>150000</v>
      </c>
      <c r="J103" s="183">
        <v>180000</v>
      </c>
      <c r="K103" s="183">
        <v>150000</v>
      </c>
      <c r="M103" s="141" t="str">
        <f t="shared" si="15"/>
        <v>323</v>
      </c>
      <c r="N103" s="141" t="str">
        <f t="shared" si="16"/>
        <v>32</v>
      </c>
      <c r="R103" s="141">
        <v>4241</v>
      </c>
      <c r="S103" s="141" t="s">
        <v>1010</v>
      </c>
      <c r="U103" s="141" t="str">
        <f t="shared" si="21"/>
        <v>42</v>
      </c>
      <c r="V103" s="141" t="str">
        <f t="shared" si="20"/>
        <v>424</v>
      </c>
      <c r="X103" t="s">
        <v>1011</v>
      </c>
      <c r="Y103" t="s">
        <v>1012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43</v>
      </c>
      <c r="D104" s="146" t="str">
        <f t="shared" si="12"/>
        <v>Ostali prihodi za posebne namjene</v>
      </c>
      <c r="E104" s="151">
        <v>3238</v>
      </c>
      <c r="F104" s="146" t="str">
        <f t="shared" si="13"/>
        <v>Računalne usluge</v>
      </c>
      <c r="G104" s="184" t="s">
        <v>881</v>
      </c>
      <c r="H104" s="146" t="str">
        <f t="shared" si="14"/>
        <v>REDOVNA DJELATNOST SVEUČILIŠTA U RIJECI (IZ EVIDENCIJSKIH PRIHODA)</v>
      </c>
      <c r="I104" s="183">
        <v>15000</v>
      </c>
      <c r="J104" s="183">
        <v>15000</v>
      </c>
      <c r="K104" s="183">
        <v>15000</v>
      </c>
      <c r="M104" s="141" t="str">
        <f t="shared" si="15"/>
        <v>323</v>
      </c>
      <c r="N104" s="141" t="str">
        <f t="shared" si="16"/>
        <v>32</v>
      </c>
      <c r="R104" s="141">
        <v>4242</v>
      </c>
      <c r="S104" s="141" t="s">
        <v>1013</v>
      </c>
      <c r="U104" s="141" t="str">
        <f t="shared" si="21"/>
        <v>42</v>
      </c>
      <c r="V104" s="141" t="str">
        <f t="shared" si="20"/>
        <v>424</v>
      </c>
      <c r="X104" t="s">
        <v>1014</v>
      </c>
      <c r="Y104" t="s">
        <v>1015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43</v>
      </c>
      <c r="D105" s="146" t="str">
        <f t="shared" si="12"/>
        <v>Ostali prihodi za posebne namjene</v>
      </c>
      <c r="E105" s="151">
        <v>3239</v>
      </c>
      <c r="F105" s="146" t="str">
        <f t="shared" si="13"/>
        <v>Ostale usluge</v>
      </c>
      <c r="G105" s="184" t="s">
        <v>881</v>
      </c>
      <c r="H105" s="146" t="str">
        <f t="shared" si="14"/>
        <v>REDOVNA DJELATNOST SVEUČILIŠTA U RIJECI (IZ EVIDENCIJSKIH PRIHODA)</v>
      </c>
      <c r="I105" s="183">
        <v>100000</v>
      </c>
      <c r="J105" s="183">
        <v>130000</v>
      </c>
      <c r="K105" s="183">
        <v>100000</v>
      </c>
      <c r="M105" s="141" t="str">
        <f t="shared" si="15"/>
        <v>323</v>
      </c>
      <c r="N105" s="141" t="str">
        <f t="shared" si="16"/>
        <v>32</v>
      </c>
      <c r="R105" s="141">
        <v>4244</v>
      </c>
      <c r="S105" s="141" t="s">
        <v>1016</v>
      </c>
      <c r="U105" s="141" t="str">
        <f t="shared" si="21"/>
        <v>42</v>
      </c>
      <c r="V105" s="141" t="str">
        <f t="shared" si="20"/>
        <v>424</v>
      </c>
      <c r="X105" t="s">
        <v>1017</v>
      </c>
      <c r="Y105" t="s">
        <v>1018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43</v>
      </c>
      <c r="D106" s="146" t="str">
        <f t="shared" si="12"/>
        <v>Ostali prihodi za posebne namjene</v>
      </c>
      <c r="E106" s="151">
        <v>3293</v>
      </c>
      <c r="F106" s="146" t="str">
        <f t="shared" si="13"/>
        <v>Reprezentacija</v>
      </c>
      <c r="G106" s="184" t="s">
        <v>881</v>
      </c>
      <c r="H106" s="146" t="str">
        <f t="shared" si="14"/>
        <v>REDOVNA DJELATNOST SVEUČILIŠTA U RIJECI (IZ EVIDENCIJSKIH PRIHODA)</v>
      </c>
      <c r="I106" s="183">
        <v>10000</v>
      </c>
      <c r="J106" s="183">
        <v>10000</v>
      </c>
      <c r="K106" s="183">
        <v>10000</v>
      </c>
      <c r="M106" s="141" t="str">
        <f t="shared" si="15"/>
        <v>329</v>
      </c>
      <c r="N106" s="141" t="str">
        <f t="shared" si="16"/>
        <v>32</v>
      </c>
      <c r="R106" s="141">
        <v>4251</v>
      </c>
      <c r="S106" s="141" t="s">
        <v>1019</v>
      </c>
      <c r="U106" s="141" t="str">
        <f t="shared" si="21"/>
        <v>42</v>
      </c>
      <c r="V106" s="141" t="str">
        <f t="shared" si="20"/>
        <v>425</v>
      </c>
      <c r="X106" t="s">
        <v>1020</v>
      </c>
      <c r="Y106" t="s">
        <v>1021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43</v>
      </c>
      <c r="D107" s="146" t="str">
        <f t="shared" si="12"/>
        <v>Ostali prihodi za posebne namjene</v>
      </c>
      <c r="E107" s="151">
        <v>3239</v>
      </c>
      <c r="F107" s="146" t="str">
        <f t="shared" si="13"/>
        <v>Ostale usluge</v>
      </c>
      <c r="G107" s="184" t="s">
        <v>881</v>
      </c>
      <c r="H107" s="146" t="str">
        <f t="shared" si="14"/>
        <v>REDOVNA DJELATNOST SVEUČILIŠTA U RIJECI (IZ EVIDENCIJSKIH PRIHODA)</v>
      </c>
      <c r="I107" s="183">
        <v>30000</v>
      </c>
      <c r="J107" s="183">
        <v>30000</v>
      </c>
      <c r="K107" s="183">
        <v>30000</v>
      </c>
      <c r="M107" s="141" t="str">
        <f t="shared" si="15"/>
        <v>323</v>
      </c>
      <c r="N107" s="141" t="str">
        <f t="shared" si="16"/>
        <v>32</v>
      </c>
      <c r="R107" s="141">
        <v>4252</v>
      </c>
      <c r="S107" s="141" t="s">
        <v>1022</v>
      </c>
      <c r="U107" s="141" t="str">
        <f t="shared" si="21"/>
        <v>42</v>
      </c>
      <c r="V107" s="141" t="str">
        <f t="shared" si="20"/>
        <v>425</v>
      </c>
      <c r="X107" t="s">
        <v>1023</v>
      </c>
      <c r="Y107" t="s">
        <v>1024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43</v>
      </c>
      <c r="D108" s="146" t="str">
        <f t="shared" si="12"/>
        <v>Ostali prihodi za posebne namjene</v>
      </c>
      <c r="E108" s="151">
        <v>3241</v>
      </c>
      <c r="F108" s="146" t="str">
        <f t="shared" si="13"/>
        <v>Naknade troškova osobama izvan radnog odnosa</v>
      </c>
      <c r="G108" s="184" t="s">
        <v>881</v>
      </c>
      <c r="H108" s="146" t="str">
        <f t="shared" si="14"/>
        <v>REDOVNA DJELATNOST SVEUČILIŠTA U RIJECI (IZ EVIDENCIJSKIH PRIHODA)</v>
      </c>
      <c r="I108" s="183">
        <v>5000</v>
      </c>
      <c r="J108" s="183">
        <v>5000</v>
      </c>
      <c r="K108" s="183">
        <v>5000</v>
      </c>
      <c r="M108" s="141" t="str">
        <f t="shared" si="15"/>
        <v>324</v>
      </c>
      <c r="N108" s="141" t="str">
        <f t="shared" si="16"/>
        <v>32</v>
      </c>
      <c r="R108" s="141">
        <v>4262</v>
      </c>
      <c r="S108" s="141" t="s">
        <v>1025</v>
      </c>
      <c r="U108" s="141" t="str">
        <f t="shared" si="21"/>
        <v>42</v>
      </c>
      <c r="V108" s="141" t="str">
        <f t="shared" si="20"/>
        <v>426</v>
      </c>
      <c r="X108" t="s">
        <v>1026</v>
      </c>
      <c r="Y108" t="s">
        <v>1027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43</v>
      </c>
      <c r="D109" s="146" t="str">
        <f t="shared" si="12"/>
        <v>Ostali prihodi za posebne namjene</v>
      </c>
      <c r="E109" s="151">
        <v>3292</v>
      </c>
      <c r="F109" s="146" t="str">
        <f t="shared" si="13"/>
        <v>Premije osiguranja</v>
      </c>
      <c r="G109" s="184" t="s">
        <v>881</v>
      </c>
      <c r="H109" s="146" t="str">
        <f t="shared" si="14"/>
        <v>REDOVNA DJELATNOST SVEUČILIŠTA U RIJECI (IZ EVIDENCIJSKIH PRIHODA)</v>
      </c>
      <c r="I109" s="183">
        <v>80000</v>
      </c>
      <c r="J109" s="183">
        <v>20000</v>
      </c>
      <c r="K109" s="183">
        <v>80000</v>
      </c>
      <c r="M109" s="141" t="str">
        <f t="shared" si="15"/>
        <v>329</v>
      </c>
      <c r="N109" s="141" t="str">
        <f t="shared" si="16"/>
        <v>32</v>
      </c>
      <c r="R109" s="141">
        <v>4263</v>
      </c>
      <c r="S109" s="141" t="s">
        <v>1028</v>
      </c>
      <c r="U109" s="141" t="str">
        <f t="shared" si="21"/>
        <v>42</v>
      </c>
      <c r="V109" s="141" t="str">
        <f t="shared" si="20"/>
        <v>426</v>
      </c>
      <c r="X109" t="s">
        <v>1029</v>
      </c>
      <c r="Y109" t="s">
        <v>1030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43</v>
      </c>
      <c r="D110" s="146" t="str">
        <f t="shared" si="12"/>
        <v>Ostali prihodi za posebne namjene</v>
      </c>
      <c r="E110" s="151">
        <v>3294</v>
      </c>
      <c r="F110" s="146" t="str">
        <f t="shared" si="13"/>
        <v>Članarine i norme</v>
      </c>
      <c r="G110" s="184" t="s">
        <v>881</v>
      </c>
      <c r="H110" s="146" t="str">
        <f t="shared" si="14"/>
        <v>REDOVNA DJELATNOST SVEUČILIŠTA U RIJECI (IZ EVIDENCIJSKIH PRIHODA)</v>
      </c>
      <c r="I110" s="183">
        <v>25000</v>
      </c>
      <c r="J110" s="183">
        <v>25000</v>
      </c>
      <c r="K110" s="183">
        <v>25000</v>
      </c>
      <c r="M110" s="141" t="str">
        <f t="shared" si="15"/>
        <v>329</v>
      </c>
      <c r="N110" s="141" t="str">
        <f t="shared" si="16"/>
        <v>32</v>
      </c>
      <c r="R110" s="141">
        <v>4264</v>
      </c>
      <c r="S110" s="141" t="s">
        <v>1031</v>
      </c>
      <c r="U110" s="141" t="str">
        <f t="shared" si="21"/>
        <v>42</v>
      </c>
      <c r="V110" s="141" t="str">
        <f t="shared" si="20"/>
        <v>426</v>
      </c>
      <c r="X110" t="s">
        <v>1032</v>
      </c>
      <c r="Y110" t="s">
        <v>1033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43</v>
      </c>
      <c r="D111" s="146" t="str">
        <f t="shared" si="12"/>
        <v>Ostali prihodi za posebne namjene</v>
      </c>
      <c r="E111" s="151">
        <v>3299</v>
      </c>
      <c r="F111" s="146" t="str">
        <f t="shared" si="13"/>
        <v>Ostali nespomenuti rashodi poslovanja</v>
      </c>
      <c r="G111" s="184" t="s">
        <v>881</v>
      </c>
      <c r="H111" s="146" t="str">
        <f t="shared" si="14"/>
        <v>REDOVNA DJELATNOST SVEUČILIŠTA U RIJECI (IZ EVIDENCIJSKIH PRIHODA)</v>
      </c>
      <c r="I111" s="183">
        <v>100000</v>
      </c>
      <c r="J111" s="183">
        <v>100000</v>
      </c>
      <c r="K111" s="183">
        <v>100000</v>
      </c>
      <c r="M111" s="141" t="str">
        <f t="shared" si="15"/>
        <v>329</v>
      </c>
      <c r="N111" s="141" t="str">
        <f t="shared" si="16"/>
        <v>32</v>
      </c>
      <c r="R111" s="141">
        <v>4312</v>
      </c>
      <c r="S111" s="141" t="s">
        <v>1034</v>
      </c>
      <c r="U111" s="141" t="str">
        <f t="shared" si="21"/>
        <v>43</v>
      </c>
      <c r="V111" s="141" t="str">
        <f t="shared" si="20"/>
        <v>431</v>
      </c>
      <c r="X111" t="s">
        <v>1035</v>
      </c>
      <c r="Y111" t="s">
        <v>1036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43</v>
      </c>
      <c r="D112" s="146" t="str">
        <f t="shared" si="12"/>
        <v>Ostali prihodi za posebne namjene</v>
      </c>
      <c r="E112" s="151">
        <v>3431</v>
      </c>
      <c r="F112" s="146" t="str">
        <f t="shared" si="13"/>
        <v>Bankarske usluge i usluge platnog prometa</v>
      </c>
      <c r="G112" s="184" t="s">
        <v>881</v>
      </c>
      <c r="H112" s="146" t="str">
        <f t="shared" si="14"/>
        <v>REDOVNA DJELATNOST SVEUČILIŠTA U RIJECI (IZ EVIDENCIJSKIH PRIHODA)</v>
      </c>
      <c r="I112" s="183">
        <v>2500</v>
      </c>
      <c r="J112" s="183">
        <v>2500</v>
      </c>
      <c r="K112" s="183">
        <v>2500</v>
      </c>
      <c r="M112" s="141" t="str">
        <f t="shared" si="15"/>
        <v>343</v>
      </c>
      <c r="N112" s="141" t="str">
        <f t="shared" si="16"/>
        <v>34</v>
      </c>
      <c r="R112" s="141">
        <v>4411</v>
      </c>
      <c r="S112" s="141" t="s">
        <v>1037</v>
      </c>
      <c r="U112" s="141" t="str">
        <f t="shared" si="21"/>
        <v>44</v>
      </c>
      <c r="V112" s="141" t="str">
        <f t="shared" si="20"/>
        <v>441</v>
      </c>
      <c r="X112" t="s">
        <v>1038</v>
      </c>
      <c r="Y112" t="s">
        <v>823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43</v>
      </c>
      <c r="D113" s="146" t="str">
        <f t="shared" si="12"/>
        <v>Ostali prihodi za posebne namjene</v>
      </c>
      <c r="E113" s="151">
        <v>3432</v>
      </c>
      <c r="F113" s="146" t="str">
        <f t="shared" si="13"/>
        <v>Negativne tečajne razlike i razlike zbog primjene valutne kl</v>
      </c>
      <c r="G113" s="184" t="s">
        <v>881</v>
      </c>
      <c r="H113" s="146" t="str">
        <f t="shared" si="14"/>
        <v>REDOVNA DJELATNOST SVEUČILIŠTA U RIJECI (IZ EVIDENCIJSKIH PRIHODA)</v>
      </c>
      <c r="I113" s="183">
        <v>8000</v>
      </c>
      <c r="J113" s="183">
        <v>8000</v>
      </c>
      <c r="K113" s="183">
        <v>8000</v>
      </c>
      <c r="M113" s="141" t="str">
        <f t="shared" si="15"/>
        <v>343</v>
      </c>
      <c r="N113" s="141" t="str">
        <f t="shared" si="16"/>
        <v>34</v>
      </c>
      <c r="R113" s="141">
        <v>4511</v>
      </c>
      <c r="S113" s="141" t="s">
        <v>1039</v>
      </c>
      <c r="U113" s="141" t="str">
        <f t="shared" si="21"/>
        <v>45</v>
      </c>
      <c r="V113" s="141" t="str">
        <f t="shared" si="20"/>
        <v>451</v>
      </c>
      <c r="X113" t="s">
        <v>1040</v>
      </c>
      <c r="Y113" t="s">
        <v>1041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43</v>
      </c>
      <c r="D114" s="146" t="str">
        <f t="shared" si="12"/>
        <v>Ostali prihodi za posebne namjene</v>
      </c>
      <c r="E114" s="151">
        <v>4221</v>
      </c>
      <c r="F114" s="146" t="str">
        <f t="shared" si="13"/>
        <v>Uredska oprema i namještaj</v>
      </c>
      <c r="G114" s="184" t="s">
        <v>881</v>
      </c>
      <c r="H114" s="146" t="str">
        <f t="shared" si="14"/>
        <v>REDOVNA DJELATNOST SVEUČILIŠTA U RIJECI (IZ EVIDENCIJSKIH PRIHODA)</v>
      </c>
      <c r="I114" s="183">
        <v>250000</v>
      </c>
      <c r="J114" s="183">
        <v>300000</v>
      </c>
      <c r="K114" s="183">
        <v>250000</v>
      </c>
      <c r="M114" s="141" t="str">
        <f t="shared" si="15"/>
        <v>422</v>
      </c>
      <c r="N114" s="141" t="str">
        <f t="shared" si="16"/>
        <v>42</v>
      </c>
      <c r="R114" s="141">
        <v>4521</v>
      </c>
      <c r="S114" s="141" t="s">
        <v>1042</v>
      </c>
      <c r="U114" s="141" t="str">
        <f t="shared" si="21"/>
        <v>45</v>
      </c>
      <c r="V114" s="141" t="str">
        <f t="shared" si="20"/>
        <v>452</v>
      </c>
      <c r="X114" t="s">
        <v>1043</v>
      </c>
      <c r="Y114" t="s">
        <v>1044</v>
      </c>
    </row>
    <row r="115" spans="1:25">
      <c r="A115" s="145" t="str">
        <f>IF(C115="","",VLOOKUP('Opći dio'!$C$3,'Opći dio'!$L$6:$U$136,10,FALSE))</f>
        <v>08006</v>
      </c>
      <c r="B115" s="145" t="str">
        <f>IF(C115="","",VLOOKUP('Opći dio'!$C$3,'Opći dio'!$L$6:$U$136,9,FALSE))</f>
        <v>Sveučilišta i veleučilišta u Republici Hrvatskoj</v>
      </c>
      <c r="C115" s="151">
        <v>43</v>
      </c>
      <c r="D115" s="146" t="str">
        <f t="shared" si="12"/>
        <v>Ostali prihodi za posebne namjene</v>
      </c>
      <c r="E115" s="151">
        <v>4241</v>
      </c>
      <c r="F115" s="146" t="str">
        <f t="shared" si="13"/>
        <v>Knjige</v>
      </c>
      <c r="G115" s="184" t="s">
        <v>881</v>
      </c>
      <c r="H115" s="146" t="str">
        <f t="shared" si="14"/>
        <v>REDOVNA DJELATNOST SVEUČILIŠTA U RIJECI (IZ EVIDENCIJSKIH PRIHODA)</v>
      </c>
      <c r="I115" s="183">
        <v>30000</v>
      </c>
      <c r="J115" s="183">
        <v>53000</v>
      </c>
      <c r="K115" s="183">
        <v>30000</v>
      </c>
      <c r="M115" s="141" t="str">
        <f t="shared" si="15"/>
        <v>424</v>
      </c>
      <c r="N115" s="141" t="str">
        <f t="shared" si="16"/>
        <v>42</v>
      </c>
      <c r="R115" s="141">
        <v>4531</v>
      </c>
      <c r="S115" s="141" t="s">
        <v>1045</v>
      </c>
      <c r="U115" s="141" t="str">
        <f t="shared" si="21"/>
        <v>45</v>
      </c>
      <c r="V115" s="141" t="str">
        <f t="shared" si="20"/>
        <v>453</v>
      </c>
      <c r="X115" t="s">
        <v>1046</v>
      </c>
      <c r="Y115" t="s">
        <v>1047</v>
      </c>
    </row>
    <row r="116" spans="1:25">
      <c r="A116" s="145" t="str">
        <f>IF(C116="","",VLOOKUP('Opći dio'!$C$3,'Opći dio'!$L$6:$U$136,10,FALSE))</f>
        <v>08006</v>
      </c>
      <c r="B116" s="145" t="str">
        <f>IF(C116="","",VLOOKUP('Opći dio'!$C$3,'Opći dio'!$L$6:$U$136,9,FALSE))</f>
        <v>Sveučilišta i veleučilišta u Republici Hrvatskoj</v>
      </c>
      <c r="C116" s="151">
        <v>43</v>
      </c>
      <c r="D116" s="146" t="str">
        <f t="shared" si="12"/>
        <v>Ostali prihodi za posebne namjene</v>
      </c>
      <c r="E116" s="151">
        <v>4262</v>
      </c>
      <c r="F116" s="146" t="str">
        <f t="shared" si="13"/>
        <v>Ulaganja u računalne programe</v>
      </c>
      <c r="G116" s="184" t="s">
        <v>881</v>
      </c>
      <c r="H116" s="146" t="str">
        <f t="shared" si="14"/>
        <v>REDOVNA DJELATNOST SVEUČILIŠTA U RIJECI (IZ EVIDENCIJSKIH PRIHODA)</v>
      </c>
      <c r="I116" s="183">
        <v>20000</v>
      </c>
      <c r="J116" s="183">
        <v>30000</v>
      </c>
      <c r="K116" s="183">
        <v>20000</v>
      </c>
      <c r="M116" s="141" t="str">
        <f t="shared" si="15"/>
        <v>426</v>
      </c>
      <c r="N116" s="141" t="str">
        <f t="shared" si="16"/>
        <v>42</v>
      </c>
      <c r="R116" s="141">
        <v>4541</v>
      </c>
      <c r="S116" s="141" t="s">
        <v>1048</v>
      </c>
      <c r="U116" s="141" t="str">
        <f t="shared" si="21"/>
        <v>45</v>
      </c>
      <c r="V116" s="141" t="str">
        <f t="shared" si="20"/>
        <v>454</v>
      </c>
      <c r="X116" t="s">
        <v>1049</v>
      </c>
      <c r="Y116" t="s">
        <v>1050</v>
      </c>
    </row>
    <row r="117" spans="1:25">
      <c r="A117" s="145" t="str">
        <f>IF(C117="","",VLOOKUP('Opći dio'!$C$3,'Opći dio'!$L$6:$U$136,10,FALSE))</f>
        <v>08006</v>
      </c>
      <c r="B117" s="145" t="str">
        <f>IF(C117="","",VLOOKUP('Opći dio'!$C$3,'Opći dio'!$L$6:$U$136,9,FALSE))</f>
        <v>Sveučilišta i veleučilišta u Republici Hrvatskoj</v>
      </c>
      <c r="C117" s="151">
        <v>43</v>
      </c>
      <c r="D117" s="146" t="str">
        <f t="shared" si="12"/>
        <v>Ostali prihodi za posebne namjene</v>
      </c>
      <c r="E117" s="151">
        <v>3213</v>
      </c>
      <c r="F117" s="146" t="str">
        <f t="shared" si="13"/>
        <v>Stručno usavršavanje zaposlenika</v>
      </c>
      <c r="G117" s="184" t="s">
        <v>881</v>
      </c>
      <c r="H117" s="146" t="str">
        <f t="shared" si="14"/>
        <v>REDOVNA DJELATNOST SVEUČILIŠTA U RIJECI (IZ EVIDENCIJSKIH PRIHODA)</v>
      </c>
      <c r="I117" s="183">
        <v>11600</v>
      </c>
      <c r="J117" s="183">
        <v>18400</v>
      </c>
      <c r="K117" s="183">
        <v>9600</v>
      </c>
      <c r="M117" s="141" t="str">
        <f t="shared" si="15"/>
        <v>321</v>
      </c>
      <c r="N117" s="141" t="str">
        <f t="shared" si="16"/>
        <v>32</v>
      </c>
      <c r="R117" s="141">
        <v>5121</v>
      </c>
      <c r="S117" s="141" t="s">
        <v>1051</v>
      </c>
      <c r="U117" s="141" t="str">
        <f t="shared" si="21"/>
        <v>51</v>
      </c>
      <c r="V117" s="141" t="str">
        <f t="shared" si="20"/>
        <v>512</v>
      </c>
      <c r="X117" t="s">
        <v>1052</v>
      </c>
      <c r="Y117" t="s">
        <v>1053</v>
      </c>
    </row>
    <row r="118" spans="1:25">
      <c r="A118" s="145" t="str">
        <f>IF(C118="","",VLOOKUP('Opći dio'!$C$3,'Opći dio'!$L$6:$U$136,10,FALSE))</f>
        <v>08006</v>
      </c>
      <c r="B118" s="145" t="str">
        <f>IF(C118="","",VLOOKUP('Opći dio'!$C$3,'Opći dio'!$L$6:$U$136,9,FALSE))</f>
        <v>Sveučilišta i veleučilišta u Republici Hrvatskoj</v>
      </c>
      <c r="C118" s="151">
        <v>43</v>
      </c>
      <c r="D118" s="146" t="str">
        <f t="shared" si="12"/>
        <v>Ostali prihodi za posebne namjene</v>
      </c>
      <c r="E118" s="151">
        <v>3211</v>
      </c>
      <c r="F118" s="146" t="str">
        <f t="shared" si="13"/>
        <v>Službena putovanja</v>
      </c>
      <c r="G118" s="184" t="s">
        <v>881</v>
      </c>
      <c r="H118" s="146" t="str">
        <f t="shared" si="14"/>
        <v>REDOVNA DJELATNOST SVEUČILIŠTA U RIJECI (IZ EVIDENCIJSKIH PRIHODA)</v>
      </c>
      <c r="I118" s="183">
        <v>23400</v>
      </c>
      <c r="J118" s="183">
        <v>26600</v>
      </c>
      <c r="K118" s="183">
        <v>32400</v>
      </c>
      <c r="M118" s="141" t="str">
        <f t="shared" si="15"/>
        <v>321</v>
      </c>
      <c r="N118" s="141" t="str">
        <f t="shared" si="16"/>
        <v>32</v>
      </c>
      <c r="R118" s="141">
        <v>5443</v>
      </c>
      <c r="S118" s="141" t="s">
        <v>1054</v>
      </c>
      <c r="U118" s="141" t="str">
        <f t="shared" si="21"/>
        <v>54</v>
      </c>
      <c r="V118" s="141" t="str">
        <f t="shared" si="20"/>
        <v>544</v>
      </c>
      <c r="X118" t="s">
        <v>1055</v>
      </c>
      <c r="Y118" t="s">
        <v>1056</v>
      </c>
    </row>
    <row r="119" spans="1:25">
      <c r="A119" s="145" t="str">
        <f>IF(C119="","",VLOOKUP('Opći dio'!$C$3,'Opći dio'!$L$6:$U$136,10,FALSE))</f>
        <v>08006</v>
      </c>
      <c r="B119" s="145" t="str">
        <f>IF(C119="","",VLOOKUP('Opći dio'!$C$3,'Opći dio'!$L$6:$U$136,9,FALSE))</f>
        <v>Sveučilišta i veleučilišta u Republici Hrvatskoj</v>
      </c>
      <c r="C119" s="151">
        <v>43</v>
      </c>
      <c r="D119" s="146" t="str">
        <f t="shared" si="12"/>
        <v>Ostali prihodi za posebne namjene</v>
      </c>
      <c r="E119" s="151">
        <v>3222</v>
      </c>
      <c r="F119" s="146" t="str">
        <f t="shared" si="13"/>
        <v>Materijal i sirovine</v>
      </c>
      <c r="G119" s="184" t="s">
        <v>881</v>
      </c>
      <c r="H119" s="146" t="str">
        <f t="shared" si="14"/>
        <v>REDOVNA DJELATNOST SVEUČILIŠTA U RIJECI (IZ EVIDENCIJSKIH PRIHODA)</v>
      </c>
      <c r="I119" s="183">
        <v>15000</v>
      </c>
      <c r="J119" s="183">
        <v>5000</v>
      </c>
      <c r="K119" s="183"/>
      <c r="M119" s="141" t="str">
        <f t="shared" si="15"/>
        <v>322</v>
      </c>
      <c r="N119" s="141" t="str">
        <f t="shared" si="16"/>
        <v>32</v>
      </c>
      <c r="R119" s="141">
        <v>5121</v>
      </c>
      <c r="S119" s="141" t="s">
        <v>1057</v>
      </c>
      <c r="U119" s="141" t="str">
        <f t="shared" si="21"/>
        <v>51</v>
      </c>
      <c r="V119" s="141" t="str">
        <f t="shared" ref="V119:V129" si="22">LEFT(R119,3)</f>
        <v>512</v>
      </c>
      <c r="X119" t="s">
        <v>1058</v>
      </c>
      <c r="Y119" t="s">
        <v>1059</v>
      </c>
    </row>
    <row r="120" spans="1:25">
      <c r="A120" s="145" t="str">
        <f>IF(C120="","",VLOOKUP('Opći dio'!$C$3,'Opći dio'!$L$6:$U$136,10,FALSE))</f>
        <v>08006</v>
      </c>
      <c r="B120" s="145" t="str">
        <f>IF(C120="","",VLOOKUP('Opći dio'!$C$3,'Opći dio'!$L$6:$U$136,9,FALSE))</f>
        <v>Sveučilišta i veleučilišta u Republici Hrvatskoj</v>
      </c>
      <c r="C120" s="151">
        <v>43</v>
      </c>
      <c r="D120" s="146" t="str">
        <f t="shared" si="12"/>
        <v>Ostali prihodi za posebne namjene</v>
      </c>
      <c r="E120" s="151">
        <v>3232</v>
      </c>
      <c r="F120" s="146" t="str">
        <f t="shared" si="13"/>
        <v>Usluge tekućeg i investicijskog održavanja</v>
      </c>
      <c r="G120" s="184" t="s">
        <v>881</v>
      </c>
      <c r="H120" s="146" t="str">
        <f t="shared" si="14"/>
        <v>REDOVNA DJELATNOST SVEUČILIŠTA U RIJECI (IZ EVIDENCIJSKIH PRIHODA)</v>
      </c>
      <c r="I120" s="183">
        <v>5000</v>
      </c>
      <c r="J120" s="183">
        <v>5000</v>
      </c>
      <c r="K120" s="183"/>
      <c r="M120" s="141" t="str">
        <f t="shared" si="15"/>
        <v>323</v>
      </c>
      <c r="N120" s="141" t="str">
        <f t="shared" si="16"/>
        <v>32</v>
      </c>
      <c r="R120" s="141">
        <v>5122</v>
      </c>
      <c r="S120" s="141" t="s">
        <v>1060</v>
      </c>
      <c r="U120" s="141" t="str">
        <f t="shared" si="21"/>
        <v>51</v>
      </c>
      <c r="V120" s="141" t="str">
        <f t="shared" si="22"/>
        <v>512</v>
      </c>
      <c r="X120" t="s">
        <v>1061</v>
      </c>
      <c r="Y120" t="s">
        <v>1062</v>
      </c>
    </row>
    <row r="121" spans="1:25">
      <c r="A121" s="145" t="str">
        <f>IF(C121="","",VLOOKUP('Opći dio'!$C$3,'Opći dio'!$L$6:$U$136,10,FALSE))</f>
        <v>08006</v>
      </c>
      <c r="B121" s="145" t="str">
        <f>IF(C121="","",VLOOKUP('Opći dio'!$C$3,'Opći dio'!$L$6:$U$136,9,FALSE))</f>
        <v>Sveučilišta i veleučilišta u Republici Hrvatskoj</v>
      </c>
      <c r="C121" s="151">
        <v>43</v>
      </c>
      <c r="D121" s="146" t="str">
        <f t="shared" si="12"/>
        <v>Ostali prihodi za posebne namjene</v>
      </c>
      <c r="E121" s="151">
        <v>3235</v>
      </c>
      <c r="F121" s="146" t="str">
        <f t="shared" si="13"/>
        <v>Zakupnine i najamnine</v>
      </c>
      <c r="G121" s="184" t="s">
        <v>881</v>
      </c>
      <c r="H121" s="146" t="str">
        <f t="shared" si="14"/>
        <v>REDOVNA DJELATNOST SVEUČILIŠTA U RIJECI (IZ EVIDENCIJSKIH PRIHODA)</v>
      </c>
      <c r="I121" s="183">
        <v>8000</v>
      </c>
      <c r="J121" s="183">
        <v>8000</v>
      </c>
      <c r="K121" s="183">
        <v>4000</v>
      </c>
      <c r="M121" s="141" t="str">
        <f t="shared" si="15"/>
        <v>323</v>
      </c>
      <c r="N121" s="141" t="str">
        <f t="shared" si="16"/>
        <v>32</v>
      </c>
      <c r="R121" s="141">
        <v>5141</v>
      </c>
      <c r="S121" s="141" t="s">
        <v>1063</v>
      </c>
      <c r="U121" s="141" t="str">
        <f t="shared" si="21"/>
        <v>51</v>
      </c>
      <c r="V121" s="141" t="str">
        <f t="shared" si="22"/>
        <v>514</v>
      </c>
      <c r="X121" t="s">
        <v>1064</v>
      </c>
      <c r="Y121" t="s">
        <v>1065</v>
      </c>
    </row>
    <row r="122" spans="1:25">
      <c r="A122" s="145" t="str">
        <f>IF(C122="","",VLOOKUP('Opći dio'!$C$3,'Opći dio'!$L$6:$U$136,10,FALSE))</f>
        <v>08006</v>
      </c>
      <c r="B122" s="145" t="str">
        <f>IF(C122="","",VLOOKUP('Opći dio'!$C$3,'Opći dio'!$L$6:$U$136,9,FALSE))</f>
        <v>Sveučilišta i veleučilišta u Republici Hrvatskoj</v>
      </c>
      <c r="C122" s="151">
        <v>43</v>
      </c>
      <c r="D122" s="146" t="str">
        <f t="shared" si="12"/>
        <v>Ostali prihodi za posebne namjene</v>
      </c>
      <c r="E122" s="151">
        <v>3239</v>
      </c>
      <c r="F122" s="146" t="str">
        <f t="shared" si="13"/>
        <v>Ostale usluge</v>
      </c>
      <c r="G122" s="184" t="s">
        <v>881</v>
      </c>
      <c r="H122" s="146" t="str">
        <f t="shared" si="14"/>
        <v>REDOVNA DJELATNOST SVEUČILIŠTA U RIJECI (IZ EVIDENCIJSKIH PRIHODA)</v>
      </c>
      <c r="I122" s="183"/>
      <c r="J122" s="183"/>
      <c r="K122" s="183">
        <v>15000</v>
      </c>
      <c r="M122" s="141" t="str">
        <f t="shared" si="15"/>
        <v>323</v>
      </c>
      <c r="N122" s="141" t="str">
        <f t="shared" si="16"/>
        <v>32</v>
      </c>
      <c r="R122" s="141">
        <v>5181</v>
      </c>
      <c r="S122" s="141" t="s">
        <v>1066</v>
      </c>
      <c r="U122" s="141" t="str">
        <f t="shared" si="21"/>
        <v>51</v>
      </c>
      <c r="V122" s="141" t="str">
        <f t="shared" si="22"/>
        <v>518</v>
      </c>
      <c r="X122" t="s">
        <v>1067</v>
      </c>
      <c r="Y122" t="s">
        <v>1068</v>
      </c>
    </row>
    <row r="123" spans="1:25">
      <c r="A123" s="145" t="str">
        <f>IF(C123="","",VLOOKUP('Opći dio'!$C$3,'Opći dio'!$L$6:$U$136,10,FALSE))</f>
        <v>08006</v>
      </c>
      <c r="B123" s="145" t="str">
        <f>IF(C123="","",VLOOKUP('Opći dio'!$C$3,'Opći dio'!$L$6:$U$136,9,FALSE))</f>
        <v>Sveučilišta i veleučilišta u Republici Hrvatskoj</v>
      </c>
      <c r="C123" s="151">
        <v>43</v>
      </c>
      <c r="D123" s="146" t="str">
        <f t="shared" si="12"/>
        <v>Ostali prihodi za posebne namjene</v>
      </c>
      <c r="E123" s="151">
        <v>3299</v>
      </c>
      <c r="F123" s="146" t="str">
        <f t="shared" si="13"/>
        <v>Ostali nespomenuti rashodi poslovanja</v>
      </c>
      <c r="G123" s="184" t="s">
        <v>881</v>
      </c>
      <c r="H123" s="146" t="str">
        <f t="shared" si="14"/>
        <v>REDOVNA DJELATNOST SVEUČILIŠTA U RIJECI (IZ EVIDENCIJSKIH PRIHODA)</v>
      </c>
      <c r="I123" s="183"/>
      <c r="J123" s="183"/>
      <c r="K123" s="183">
        <v>13000</v>
      </c>
      <c r="M123" s="141" t="str">
        <f t="shared" si="15"/>
        <v>329</v>
      </c>
      <c r="N123" s="141" t="str">
        <f t="shared" si="16"/>
        <v>32</v>
      </c>
      <c r="R123" s="141">
        <v>5183</v>
      </c>
      <c r="S123" s="141" t="s">
        <v>1069</v>
      </c>
      <c r="U123" s="141" t="str">
        <f t="shared" si="21"/>
        <v>51</v>
      </c>
      <c r="V123" s="141" t="str">
        <f t="shared" si="22"/>
        <v>518</v>
      </c>
      <c r="X123" t="s">
        <v>1070</v>
      </c>
      <c r="Y123" t="s">
        <v>1071</v>
      </c>
    </row>
    <row r="124" spans="1:25">
      <c r="A124" s="145" t="str">
        <f>IF(C124="","",VLOOKUP('Opći dio'!$C$3,'Opći dio'!$L$6:$U$136,10,FALSE))</f>
        <v>08006</v>
      </c>
      <c r="B124" s="145" t="str">
        <f>IF(C124="","",VLOOKUP('Opći dio'!$C$3,'Opći dio'!$L$6:$U$136,9,FALSE))</f>
        <v>Sveučilišta i veleučilišta u Republici Hrvatskoj</v>
      </c>
      <c r="C124" s="151">
        <v>43</v>
      </c>
      <c r="D124" s="146" t="str">
        <f t="shared" si="12"/>
        <v>Ostali prihodi za posebne namjene</v>
      </c>
      <c r="E124" s="151">
        <v>4224</v>
      </c>
      <c r="F124" s="146" t="str">
        <f t="shared" si="13"/>
        <v>Medicinska i laboratorijska oprema</v>
      </c>
      <c r="G124" s="184" t="s">
        <v>881</v>
      </c>
      <c r="H124" s="146" t="str">
        <f t="shared" si="14"/>
        <v>REDOVNA DJELATNOST SVEUČILIŠTA U RIJECI (IZ EVIDENCIJSKIH PRIHODA)</v>
      </c>
      <c r="I124" s="183">
        <v>10000</v>
      </c>
      <c r="J124" s="183"/>
      <c r="K124" s="183"/>
      <c r="M124" s="141" t="str">
        <f t="shared" si="15"/>
        <v>422</v>
      </c>
      <c r="N124" s="141" t="str">
        <f t="shared" si="16"/>
        <v>42</v>
      </c>
      <c r="R124" s="141">
        <v>5422</v>
      </c>
      <c r="S124" s="141" t="s">
        <v>1072</v>
      </c>
      <c r="U124" s="141" t="str">
        <f t="shared" si="21"/>
        <v>54</v>
      </c>
      <c r="V124" s="141" t="str">
        <f t="shared" si="22"/>
        <v>542</v>
      </c>
      <c r="X124" t="s">
        <v>1073</v>
      </c>
      <c r="Y124" t="s">
        <v>1074</v>
      </c>
    </row>
    <row r="125" spans="1:25">
      <c r="A125" s="145" t="str">
        <f>IF(C125="","",VLOOKUP('Opći dio'!$C$3,'Opći dio'!$L$6:$U$136,10,FALSE))</f>
        <v>08006</v>
      </c>
      <c r="B125" s="145" t="str">
        <f>IF(C125="","",VLOOKUP('Opći dio'!$C$3,'Opći dio'!$L$6:$U$136,9,FALSE))</f>
        <v>Sveučilišta i veleučilišta u Republici Hrvatskoj</v>
      </c>
      <c r="C125" s="151">
        <v>43</v>
      </c>
      <c r="D125" s="146" t="str">
        <f t="shared" si="12"/>
        <v>Ostali prihodi za posebne namjene</v>
      </c>
      <c r="E125" s="151">
        <v>3111</v>
      </c>
      <c r="F125" s="146" t="str">
        <f t="shared" si="13"/>
        <v>Plaće za redovan rad</v>
      </c>
      <c r="G125" s="184" t="s">
        <v>881</v>
      </c>
      <c r="H125" s="146" t="str">
        <f t="shared" si="14"/>
        <v>REDOVNA DJELATNOST SVEUČILIŠTA U RIJECI (IZ EVIDENCIJSKIH PRIHODA)</v>
      </c>
      <c r="I125" s="183">
        <v>145064</v>
      </c>
      <c r="J125" s="183">
        <v>145064</v>
      </c>
      <c r="K125" s="183">
        <v>145064</v>
      </c>
      <c r="M125" s="141" t="str">
        <f t="shared" si="15"/>
        <v>311</v>
      </c>
      <c r="N125" s="141" t="str">
        <f t="shared" si="16"/>
        <v>31</v>
      </c>
      <c r="R125" s="141">
        <v>5431</v>
      </c>
      <c r="S125" s="141" t="s">
        <v>1075</v>
      </c>
      <c r="U125" s="141" t="str">
        <f t="shared" si="21"/>
        <v>54</v>
      </c>
      <c r="V125" s="141" t="str">
        <f t="shared" si="22"/>
        <v>543</v>
      </c>
      <c r="X125" t="s">
        <v>1076</v>
      </c>
      <c r="Y125" t="s">
        <v>1077</v>
      </c>
    </row>
    <row r="126" spans="1:25">
      <c r="A126" s="145" t="str">
        <f>IF(C126="","",VLOOKUP('Opći dio'!$C$3,'Opći dio'!$L$6:$U$136,10,FALSE))</f>
        <v>08006</v>
      </c>
      <c r="B126" s="145" t="str">
        <f>IF(C126="","",VLOOKUP('Opći dio'!$C$3,'Opći dio'!$L$6:$U$136,9,FALSE))</f>
        <v>Sveučilišta i veleučilišta u Republici Hrvatskoj</v>
      </c>
      <c r="C126" s="151">
        <v>43</v>
      </c>
      <c r="D126" s="146" t="str">
        <f t="shared" si="12"/>
        <v>Ostali prihodi za posebne namjene</v>
      </c>
      <c r="E126" s="151">
        <v>3121</v>
      </c>
      <c r="F126" s="146" t="str">
        <f t="shared" si="13"/>
        <v>Ostali rashodi za zaposlene</v>
      </c>
      <c r="G126" s="184" t="s">
        <v>881</v>
      </c>
      <c r="H126" s="146" t="str">
        <f t="shared" si="14"/>
        <v>REDOVNA DJELATNOST SVEUČILIŠTA U RIJECI (IZ EVIDENCIJSKIH PRIHODA)</v>
      </c>
      <c r="I126" s="183">
        <v>3000</v>
      </c>
      <c r="J126" s="183">
        <v>3000</v>
      </c>
      <c r="K126" s="183">
        <v>3000</v>
      </c>
      <c r="M126" s="141" t="str">
        <f t="shared" si="15"/>
        <v>312</v>
      </c>
      <c r="N126" s="141" t="str">
        <f t="shared" si="16"/>
        <v>31</v>
      </c>
      <c r="R126" s="141">
        <v>5443</v>
      </c>
      <c r="S126" s="141" t="s">
        <v>1078</v>
      </c>
      <c r="U126" s="141" t="str">
        <f t="shared" si="21"/>
        <v>54</v>
      </c>
      <c r="V126" s="141" t="str">
        <f t="shared" si="22"/>
        <v>544</v>
      </c>
      <c r="X126" t="s">
        <v>1079</v>
      </c>
      <c r="Y126" t="s">
        <v>1080</v>
      </c>
    </row>
    <row r="127" spans="1:25">
      <c r="A127" s="145" t="str">
        <f>IF(C127="","",VLOOKUP('Opći dio'!$C$3,'Opći dio'!$L$6:$U$136,10,FALSE))</f>
        <v>08006</v>
      </c>
      <c r="B127" s="145" t="str">
        <f>IF(C127="","",VLOOKUP('Opći dio'!$C$3,'Opći dio'!$L$6:$U$136,9,FALSE))</f>
        <v>Sveučilišta i veleučilišta u Republici Hrvatskoj</v>
      </c>
      <c r="C127" s="151">
        <v>43</v>
      </c>
      <c r="D127" s="146" t="str">
        <f t="shared" si="12"/>
        <v>Ostali prihodi za posebne namjene</v>
      </c>
      <c r="E127" s="151">
        <v>3132</v>
      </c>
      <c r="F127" s="146" t="str">
        <f t="shared" si="13"/>
        <v>Doprinosi za obvezno zdravstveno osiguranje</v>
      </c>
      <c r="G127" s="184" t="s">
        <v>881</v>
      </c>
      <c r="H127" s="146" t="str">
        <f t="shared" si="14"/>
        <v>REDOVNA DJELATNOST SVEUČILIŠTA U RIJECI (IZ EVIDENCIJSKIH PRIHODA)</v>
      </c>
      <c r="I127" s="183">
        <v>23936</v>
      </c>
      <c r="J127" s="183">
        <v>23936</v>
      </c>
      <c r="K127" s="183">
        <v>23936</v>
      </c>
      <c r="M127" s="141" t="str">
        <f t="shared" si="15"/>
        <v>313</v>
      </c>
      <c r="N127" s="141" t="str">
        <f t="shared" si="16"/>
        <v>31</v>
      </c>
      <c r="R127" s="141">
        <v>5445</v>
      </c>
      <c r="S127" s="141" t="s">
        <v>1081</v>
      </c>
      <c r="U127" s="141" t="str">
        <f t="shared" si="21"/>
        <v>54</v>
      </c>
      <c r="V127" s="141" t="str">
        <f t="shared" si="22"/>
        <v>544</v>
      </c>
      <c r="X127" t="s">
        <v>1082</v>
      </c>
      <c r="Y127" t="s">
        <v>1083</v>
      </c>
    </row>
    <row r="128" spans="1:25">
      <c r="A128" s="145" t="str">
        <f>IF(C128="","",VLOOKUP('Opći dio'!$C$3,'Opći dio'!$L$6:$U$136,10,FALSE))</f>
        <v>08006</v>
      </c>
      <c r="B128" s="145" t="str">
        <f>IF(C128="","",VLOOKUP('Opći dio'!$C$3,'Opći dio'!$L$6:$U$136,9,FALSE))</f>
        <v>Sveučilišta i veleučilišta u Republici Hrvatskoj</v>
      </c>
      <c r="C128" s="151">
        <v>43</v>
      </c>
      <c r="D128" s="146" t="str">
        <f t="shared" si="12"/>
        <v>Ostali prihodi za posebne namjene</v>
      </c>
      <c r="E128" s="151">
        <v>3212</v>
      </c>
      <c r="F128" s="146" t="str">
        <f t="shared" si="13"/>
        <v>Naknade za prijevoz, za rad na terenu i odvojeni život</v>
      </c>
      <c r="G128" s="184" t="s">
        <v>881</v>
      </c>
      <c r="H128" s="146" t="str">
        <f t="shared" si="14"/>
        <v>REDOVNA DJELATNOST SVEUČILIŠTA U RIJECI (IZ EVIDENCIJSKIH PRIHODA)</v>
      </c>
      <c r="I128" s="183">
        <v>3000</v>
      </c>
      <c r="J128" s="183">
        <v>3000</v>
      </c>
      <c r="K128" s="183">
        <v>3000</v>
      </c>
      <c r="M128" s="141" t="str">
        <f t="shared" si="15"/>
        <v>321</v>
      </c>
      <c r="N128" s="141" t="str">
        <f t="shared" si="16"/>
        <v>32</v>
      </c>
      <c r="R128" s="141">
        <v>5453</v>
      </c>
      <c r="S128" s="141" t="s">
        <v>1084</v>
      </c>
      <c r="U128" s="141" t="str">
        <f t="shared" si="21"/>
        <v>54</v>
      </c>
      <c r="V128" s="141" t="str">
        <f t="shared" si="22"/>
        <v>545</v>
      </c>
      <c r="X128" t="s">
        <v>1085</v>
      </c>
      <c r="Y128" t="s">
        <v>1086</v>
      </c>
    </row>
    <row r="129" spans="1:25">
      <c r="A129" s="145" t="str">
        <f>IF(C129="","",VLOOKUP('Opći dio'!$C$3,'Opći dio'!$L$6:$U$136,10,FALSE))</f>
        <v>08006</v>
      </c>
      <c r="B129" s="145" t="str">
        <f>IF(C129="","",VLOOKUP('Opći dio'!$C$3,'Opći dio'!$L$6:$U$136,9,FALSE))</f>
        <v>Sveučilišta i veleučilišta u Republici Hrvatskoj</v>
      </c>
      <c r="C129" s="151">
        <v>43</v>
      </c>
      <c r="D129" s="146" t="str">
        <f t="shared" si="12"/>
        <v>Ostali prihodi za posebne namjene</v>
      </c>
      <c r="E129" s="151">
        <v>4241</v>
      </c>
      <c r="F129" s="146" t="str">
        <f t="shared" si="13"/>
        <v>Knjige</v>
      </c>
      <c r="G129" s="184" t="s">
        <v>881</v>
      </c>
      <c r="H129" s="146" t="str">
        <f t="shared" si="14"/>
        <v>REDOVNA DJELATNOST SVEUČILIŠTA U RIJECI (IZ EVIDENCIJSKIH PRIHODA)</v>
      </c>
      <c r="I129" s="183">
        <v>2000</v>
      </c>
      <c r="J129" s="183">
        <v>2000</v>
      </c>
      <c r="K129" s="183"/>
      <c r="M129" s="141" t="str">
        <f t="shared" si="15"/>
        <v>424</v>
      </c>
      <c r="N129" s="141" t="str">
        <f t="shared" si="16"/>
        <v>42</v>
      </c>
      <c r="R129" s="141">
        <v>5472</v>
      </c>
      <c r="S129" s="141" t="s">
        <v>1087</v>
      </c>
      <c r="U129" s="141" t="str">
        <f t="shared" si="21"/>
        <v>54</v>
      </c>
      <c r="V129" s="141" t="str">
        <f t="shared" si="22"/>
        <v>547</v>
      </c>
      <c r="X129" t="s">
        <v>1088</v>
      </c>
      <c r="Y129" t="s">
        <v>1089</v>
      </c>
    </row>
    <row r="130" spans="1:25">
      <c r="A130" s="145" t="str">
        <f>IF(C130="","",VLOOKUP('Opći dio'!$C$3,'Opći dio'!$L$6:$U$136,10,FALSE))</f>
        <v>08006</v>
      </c>
      <c r="B130" s="145" t="str">
        <f>IF(C130="","",VLOOKUP('Opći dio'!$C$3,'Opći dio'!$L$6:$U$136,9,FALSE))</f>
        <v>Sveučilišta i veleučilišta u Republici Hrvatskoj</v>
      </c>
      <c r="C130" s="151">
        <v>43</v>
      </c>
      <c r="D130" s="146" t="str">
        <f t="shared" si="12"/>
        <v>Ostali prihodi za posebne namjene</v>
      </c>
      <c r="E130" s="151">
        <v>3111</v>
      </c>
      <c r="F130" s="146" t="str">
        <f t="shared" si="13"/>
        <v>Plaće za redovan rad</v>
      </c>
      <c r="G130" s="184" t="s">
        <v>881</v>
      </c>
      <c r="H130" s="146" t="str">
        <f t="shared" si="14"/>
        <v>REDOVNA DJELATNOST SVEUČILIŠTA U RIJECI (IZ EVIDENCIJSKIH PRIHODA)</v>
      </c>
      <c r="I130" s="183">
        <v>599600</v>
      </c>
      <c r="J130" s="183">
        <v>566300</v>
      </c>
      <c r="K130" s="183">
        <v>349500</v>
      </c>
      <c r="M130" s="141" t="str">
        <f t="shared" si="15"/>
        <v>311</v>
      </c>
      <c r="N130" s="141" t="str">
        <f t="shared" si="16"/>
        <v>31</v>
      </c>
      <c r="X130" t="s">
        <v>1090</v>
      </c>
      <c r="Y130" t="s">
        <v>1091</v>
      </c>
    </row>
    <row r="131" spans="1:25">
      <c r="A131" s="145" t="str">
        <f>IF(C131="","",VLOOKUP('Opći dio'!$C$3,'Opći dio'!$L$6:$U$136,10,FALSE))</f>
        <v>08006</v>
      </c>
      <c r="B131" s="145" t="str">
        <f>IF(C131="","",VLOOKUP('Opći dio'!$C$3,'Opći dio'!$L$6:$U$136,9,FALSE))</f>
        <v>Sveučilišta i veleučilišta u Republici Hrvatskoj</v>
      </c>
      <c r="C131" s="151">
        <v>43</v>
      </c>
      <c r="D131" s="146" t="str">
        <f t="shared" si="12"/>
        <v>Ostali prihodi za posebne namjene</v>
      </c>
      <c r="E131" s="151">
        <v>3121</v>
      </c>
      <c r="F131" s="146" t="str">
        <f t="shared" si="13"/>
        <v>Ostali rashodi za zaposlene</v>
      </c>
      <c r="G131" s="184" t="s">
        <v>881</v>
      </c>
      <c r="H131" s="146" t="str">
        <f t="shared" si="14"/>
        <v>REDOVNA DJELATNOST SVEUČILIŠTA U RIJECI (IZ EVIDENCIJSKIH PRIHODA)</v>
      </c>
      <c r="I131" s="183">
        <v>15000</v>
      </c>
      <c r="J131" s="183">
        <v>15000</v>
      </c>
      <c r="K131" s="183">
        <v>10500</v>
      </c>
      <c r="M131" s="141" t="str">
        <f t="shared" si="15"/>
        <v>312</v>
      </c>
      <c r="N131" s="141" t="str">
        <f t="shared" si="16"/>
        <v>31</v>
      </c>
      <c r="X131" t="s">
        <v>1092</v>
      </c>
      <c r="Y131" t="s">
        <v>823</v>
      </c>
    </row>
    <row r="132" spans="1:25">
      <c r="A132" s="145" t="str">
        <f>IF(C132="","",VLOOKUP('Opći dio'!$C$3,'Opći dio'!$L$6:$U$136,10,FALSE))</f>
        <v>08006</v>
      </c>
      <c r="B132" s="145" t="str">
        <f>IF(C132="","",VLOOKUP('Opći dio'!$C$3,'Opći dio'!$L$6:$U$136,9,FALSE))</f>
        <v>Sveučilišta i veleučilišta u Republici Hrvatskoj</v>
      </c>
      <c r="C132" s="151">
        <v>43</v>
      </c>
      <c r="D132" s="146" t="str">
        <f t="shared" ref="D132:D195" si="23">IFERROR(VLOOKUP(C132,$O$6:$P$23,2,FALSE),"")</f>
        <v>Ostali prihodi za posebne namjene</v>
      </c>
      <c r="E132" s="151">
        <v>3132</v>
      </c>
      <c r="F132" s="146" t="str">
        <f t="shared" ref="F132:F195" si="24">IFERROR(VLOOKUP(E132,$R$5:$T$129,2,FALSE),"")</f>
        <v>Doprinosi za obvezno zdravstveno osiguranje</v>
      </c>
      <c r="G132" s="184" t="s">
        <v>881</v>
      </c>
      <c r="H132" s="146" t="str">
        <f t="shared" ref="H132:H195" si="25">IFERROR(VLOOKUP(G132,$X$6:$Y$200,2,FALSE),"")</f>
        <v>REDOVNA DJELATNOST SVEUČILIŠTA U RIJECI (IZ EVIDENCIJSKIH PRIHODA)</v>
      </c>
      <c r="I132" s="183">
        <v>98900</v>
      </c>
      <c r="J132" s="183">
        <v>93500</v>
      </c>
      <c r="K132" s="183">
        <v>57700</v>
      </c>
      <c r="M132" s="141" t="str">
        <f t="shared" ref="M132:M195" si="26">LEFT(E132,3)</f>
        <v>313</v>
      </c>
      <c r="N132" s="141" t="str">
        <f t="shared" ref="N132:N195" si="27">LEFT(E132,2)</f>
        <v>31</v>
      </c>
      <c r="X132" t="s">
        <v>1093</v>
      </c>
      <c r="Y132" t="s">
        <v>1094</v>
      </c>
    </row>
    <row r="133" spans="1:25">
      <c r="A133" s="145" t="str">
        <f>IF(C133="","",VLOOKUP('Opći dio'!$C$3,'Opći dio'!$L$6:$U$136,10,FALSE))</f>
        <v>08006</v>
      </c>
      <c r="B133" s="145" t="str">
        <f>IF(C133="","",VLOOKUP('Opći dio'!$C$3,'Opći dio'!$L$6:$U$136,9,FALSE))</f>
        <v>Sveučilišta i veleučilišta u Republici Hrvatskoj</v>
      </c>
      <c r="C133" s="151">
        <v>43</v>
      </c>
      <c r="D133" s="146" t="str">
        <f t="shared" si="23"/>
        <v>Ostali prihodi za posebne namjene</v>
      </c>
      <c r="E133" s="151">
        <v>3212</v>
      </c>
      <c r="F133" s="146" t="str">
        <f t="shared" si="24"/>
        <v>Naknade za prijevoz, za rad na terenu i odvojeni život</v>
      </c>
      <c r="G133" s="184" t="s">
        <v>881</v>
      </c>
      <c r="H133" s="146" t="str">
        <f t="shared" si="25"/>
        <v>REDOVNA DJELATNOST SVEUČILIŠTA U RIJECI (IZ EVIDENCIJSKIH PRIHODA)</v>
      </c>
      <c r="I133" s="183">
        <v>12000</v>
      </c>
      <c r="J133" s="183">
        <v>12000</v>
      </c>
      <c r="K133" s="183">
        <v>8500</v>
      </c>
      <c r="M133" s="141" t="str">
        <f t="shared" si="26"/>
        <v>321</v>
      </c>
      <c r="N133" s="141" t="str">
        <f t="shared" si="27"/>
        <v>32</v>
      </c>
      <c r="X133" t="s">
        <v>1095</v>
      </c>
      <c r="Y133" t="s">
        <v>1096</v>
      </c>
    </row>
    <row r="134" spans="1:25">
      <c r="A134" s="145" t="str">
        <f>IF(C134="","",VLOOKUP('Opći dio'!$C$3,'Opći dio'!$L$6:$U$136,10,FALSE))</f>
        <v>08006</v>
      </c>
      <c r="B134" s="145" t="str">
        <f>IF(C134="","",VLOOKUP('Opći dio'!$C$3,'Opći dio'!$L$6:$U$136,9,FALSE))</f>
        <v>Sveučilišta i veleučilišta u Republici Hrvatskoj</v>
      </c>
      <c r="C134" s="151">
        <v>61</v>
      </c>
      <c r="D134" s="146" t="str">
        <f t="shared" si="23"/>
        <v>Donacije</v>
      </c>
      <c r="E134" s="151">
        <v>3111</v>
      </c>
      <c r="F134" s="146" t="str">
        <f t="shared" si="24"/>
        <v>Plaće za redovan rad</v>
      </c>
      <c r="G134" s="184" t="s">
        <v>881</v>
      </c>
      <c r="H134" s="146" t="str">
        <f t="shared" si="25"/>
        <v>REDOVNA DJELATNOST SVEUČILIŠTA U RIJECI (IZ EVIDENCIJSKIH PRIHODA)</v>
      </c>
      <c r="I134" s="183">
        <v>113200</v>
      </c>
      <c r="J134" s="183">
        <v>18900</v>
      </c>
      <c r="K134" s="183"/>
      <c r="M134" s="141" t="str">
        <f t="shared" si="26"/>
        <v>311</v>
      </c>
      <c r="N134" s="141" t="str">
        <f t="shared" si="27"/>
        <v>31</v>
      </c>
      <c r="X134" t="s">
        <v>1097</v>
      </c>
      <c r="Y134" t="s">
        <v>1098</v>
      </c>
    </row>
    <row r="135" spans="1:25">
      <c r="A135" s="145" t="str">
        <f>IF(C135="","",VLOOKUP('Opći dio'!$C$3,'Opći dio'!$L$6:$U$136,10,FALSE))</f>
        <v>08006</v>
      </c>
      <c r="B135" s="145" t="str">
        <f>IF(C135="","",VLOOKUP('Opći dio'!$C$3,'Opći dio'!$L$6:$U$136,9,FALSE))</f>
        <v>Sveučilišta i veleučilišta u Republici Hrvatskoj</v>
      </c>
      <c r="C135" s="151">
        <v>61</v>
      </c>
      <c r="D135" s="146" t="str">
        <f t="shared" si="23"/>
        <v>Donacije</v>
      </c>
      <c r="E135" s="151">
        <v>3121</v>
      </c>
      <c r="F135" s="146" t="str">
        <f t="shared" si="24"/>
        <v>Ostali rashodi za zaposlene</v>
      </c>
      <c r="G135" s="184" t="s">
        <v>881</v>
      </c>
      <c r="H135" s="146" t="str">
        <f t="shared" si="25"/>
        <v>REDOVNA DJELATNOST SVEUČILIŠTA U RIJECI (IZ EVIDENCIJSKIH PRIHODA)</v>
      </c>
      <c r="I135" s="183">
        <v>3000</v>
      </c>
      <c r="J135" s="183"/>
      <c r="K135" s="183"/>
      <c r="M135" s="141" t="str">
        <f t="shared" si="26"/>
        <v>312</v>
      </c>
      <c r="N135" s="141" t="str">
        <f t="shared" si="27"/>
        <v>31</v>
      </c>
      <c r="X135" t="s">
        <v>1099</v>
      </c>
      <c r="Y135" t="s">
        <v>1100</v>
      </c>
    </row>
    <row r="136" spans="1:25">
      <c r="A136" s="145" t="str">
        <f>IF(C136="","",VLOOKUP('Opći dio'!$C$3,'Opći dio'!$L$6:$U$136,10,FALSE))</f>
        <v>08006</v>
      </c>
      <c r="B136" s="145" t="str">
        <f>IF(C136="","",VLOOKUP('Opći dio'!$C$3,'Opći dio'!$L$6:$U$136,9,FALSE))</f>
        <v>Sveučilišta i veleučilišta u Republici Hrvatskoj</v>
      </c>
      <c r="C136" s="151">
        <v>61</v>
      </c>
      <c r="D136" s="146" t="str">
        <f t="shared" si="23"/>
        <v>Donacije</v>
      </c>
      <c r="E136" s="151">
        <v>3132</v>
      </c>
      <c r="F136" s="146" t="str">
        <f t="shared" si="24"/>
        <v>Doprinosi za obvezno zdravstveno osiguranje</v>
      </c>
      <c r="G136" s="184" t="s">
        <v>881</v>
      </c>
      <c r="H136" s="146" t="str">
        <f t="shared" si="25"/>
        <v>REDOVNA DJELATNOST SVEUČILIŠTA U RIJECI (IZ EVIDENCIJSKIH PRIHODA)</v>
      </c>
      <c r="I136" s="183">
        <v>18700</v>
      </c>
      <c r="J136" s="183">
        <v>3100</v>
      </c>
      <c r="K136" s="183"/>
      <c r="M136" s="141" t="str">
        <f t="shared" si="26"/>
        <v>313</v>
      </c>
      <c r="N136" s="141" t="str">
        <f t="shared" si="27"/>
        <v>31</v>
      </c>
      <c r="X136" t="s">
        <v>1101</v>
      </c>
      <c r="Y136" t="s">
        <v>1102</v>
      </c>
    </row>
    <row r="137" spans="1:25">
      <c r="A137" s="145" t="str">
        <f>IF(C137="","",VLOOKUP('Opći dio'!$C$3,'Opći dio'!$L$6:$U$136,10,FALSE))</f>
        <v>08006</v>
      </c>
      <c r="B137" s="145" t="str">
        <f>IF(C137="","",VLOOKUP('Opći dio'!$C$3,'Opći dio'!$L$6:$U$136,9,FALSE))</f>
        <v>Sveučilišta i veleučilišta u Republici Hrvatskoj</v>
      </c>
      <c r="C137" s="151">
        <v>61</v>
      </c>
      <c r="D137" s="146" t="str">
        <f t="shared" si="23"/>
        <v>Donacije</v>
      </c>
      <c r="E137" s="151">
        <v>3212</v>
      </c>
      <c r="F137" s="146" t="str">
        <f t="shared" si="24"/>
        <v>Naknade za prijevoz, za rad na terenu i odvojeni život</v>
      </c>
      <c r="G137" s="184" t="s">
        <v>881</v>
      </c>
      <c r="H137" s="146" t="str">
        <f t="shared" si="25"/>
        <v>REDOVNA DJELATNOST SVEUČILIŠTA U RIJECI (IZ EVIDENCIJSKIH PRIHODA)</v>
      </c>
      <c r="I137" s="183">
        <v>2600</v>
      </c>
      <c r="J137" s="183">
        <v>500</v>
      </c>
      <c r="K137" s="183"/>
      <c r="M137" s="141" t="str">
        <f t="shared" si="26"/>
        <v>321</v>
      </c>
      <c r="N137" s="141" t="str">
        <f t="shared" si="27"/>
        <v>32</v>
      </c>
      <c r="X137" t="s">
        <v>1103</v>
      </c>
      <c r="Y137" t="s">
        <v>1104</v>
      </c>
    </row>
    <row r="138" spans="1:25">
      <c r="A138" s="145" t="str">
        <f>IF(C138="","",VLOOKUP('Opći dio'!$C$3,'Opći dio'!$L$6:$U$136,10,FALSE))</f>
        <v>08006</v>
      </c>
      <c r="B138" s="145" t="str">
        <f>IF(C138="","",VLOOKUP('Opći dio'!$C$3,'Opći dio'!$L$6:$U$136,9,FALSE))</f>
        <v>Sveučilišta i veleučilišta u Republici Hrvatskoj</v>
      </c>
      <c r="C138" s="151">
        <v>43</v>
      </c>
      <c r="D138" s="146" t="str">
        <f t="shared" si="23"/>
        <v>Ostali prihodi za posebne namjene</v>
      </c>
      <c r="E138" s="151">
        <v>3111</v>
      </c>
      <c r="F138" s="146" t="str">
        <f t="shared" si="24"/>
        <v>Plaće za redovan rad</v>
      </c>
      <c r="G138" s="184" t="s">
        <v>881</v>
      </c>
      <c r="H138" s="146" t="str">
        <f t="shared" si="25"/>
        <v>REDOVNA DJELATNOST SVEUČILIŠTA U RIJECI (IZ EVIDENCIJSKIH PRIHODA)</v>
      </c>
      <c r="I138" s="183">
        <v>148000</v>
      </c>
      <c r="J138" s="183">
        <v>148800</v>
      </c>
      <c r="K138" s="183"/>
      <c r="M138" s="141" t="str">
        <f t="shared" si="26"/>
        <v>311</v>
      </c>
      <c r="N138" s="141" t="str">
        <f t="shared" si="27"/>
        <v>31</v>
      </c>
      <c r="X138" t="s">
        <v>1105</v>
      </c>
      <c r="Y138" t="s">
        <v>1106</v>
      </c>
    </row>
    <row r="139" spans="1:25">
      <c r="A139" s="145" t="str">
        <f>IF(C139="","",VLOOKUP('Opći dio'!$C$3,'Opći dio'!$L$6:$U$136,10,FALSE))</f>
        <v>08006</v>
      </c>
      <c r="B139" s="145" t="str">
        <f>IF(C139="","",VLOOKUP('Opći dio'!$C$3,'Opći dio'!$L$6:$U$136,9,FALSE))</f>
        <v>Sveučilišta i veleučilišta u Republici Hrvatskoj</v>
      </c>
      <c r="C139" s="151">
        <v>43</v>
      </c>
      <c r="D139" s="146" t="str">
        <f t="shared" si="23"/>
        <v>Ostali prihodi za posebne namjene</v>
      </c>
      <c r="E139" s="151">
        <v>3121</v>
      </c>
      <c r="F139" s="146" t="str">
        <f t="shared" si="24"/>
        <v>Ostali rashodi za zaposlene</v>
      </c>
      <c r="G139" s="184" t="s">
        <v>881</v>
      </c>
      <c r="H139" s="146" t="str">
        <f t="shared" si="25"/>
        <v>REDOVNA DJELATNOST SVEUČILIŠTA U RIJECI (IZ EVIDENCIJSKIH PRIHODA)</v>
      </c>
      <c r="I139" s="183">
        <v>4000</v>
      </c>
      <c r="J139" s="183">
        <v>4000</v>
      </c>
      <c r="K139" s="183"/>
      <c r="M139" s="141" t="str">
        <f t="shared" si="26"/>
        <v>312</v>
      </c>
      <c r="N139" s="141" t="str">
        <f t="shared" si="27"/>
        <v>31</v>
      </c>
      <c r="X139" t="s">
        <v>1107</v>
      </c>
      <c r="Y139" t="s">
        <v>1108</v>
      </c>
    </row>
    <row r="140" spans="1:25">
      <c r="A140" s="145" t="str">
        <f>IF(C140="","",VLOOKUP('Opći dio'!$C$3,'Opći dio'!$L$6:$U$136,10,FALSE))</f>
        <v>08006</v>
      </c>
      <c r="B140" s="145" t="str">
        <f>IF(C140="","",VLOOKUP('Opći dio'!$C$3,'Opći dio'!$L$6:$U$136,9,FALSE))</f>
        <v>Sveučilišta i veleučilišta u Republici Hrvatskoj</v>
      </c>
      <c r="C140" s="151">
        <v>43</v>
      </c>
      <c r="D140" s="146" t="str">
        <f t="shared" si="23"/>
        <v>Ostali prihodi za posebne namjene</v>
      </c>
      <c r="E140" s="151">
        <v>3132</v>
      </c>
      <c r="F140" s="146" t="str">
        <f t="shared" si="24"/>
        <v>Doprinosi za obvezno zdravstveno osiguranje</v>
      </c>
      <c r="G140" s="184" t="s">
        <v>881</v>
      </c>
      <c r="H140" s="146" t="str">
        <f t="shared" si="25"/>
        <v>REDOVNA DJELATNOST SVEUČILIŠTA U RIJECI (IZ EVIDENCIJSKIH PRIHODA)</v>
      </c>
      <c r="I140" s="183">
        <v>24420</v>
      </c>
      <c r="J140" s="183">
        <v>24600</v>
      </c>
      <c r="K140" s="183"/>
      <c r="M140" s="141" t="str">
        <f t="shared" si="26"/>
        <v>313</v>
      </c>
      <c r="N140" s="141" t="str">
        <f t="shared" si="27"/>
        <v>31</v>
      </c>
      <c r="X140" t="s">
        <v>1109</v>
      </c>
      <c r="Y140" t="s">
        <v>1110</v>
      </c>
    </row>
    <row r="141" spans="1:25">
      <c r="A141" s="145" t="str">
        <f>IF(C141="","",VLOOKUP('Opći dio'!$C$3,'Opći dio'!$L$6:$U$136,10,FALSE))</f>
        <v>08006</v>
      </c>
      <c r="B141" s="145" t="str">
        <f>IF(C141="","",VLOOKUP('Opći dio'!$C$3,'Opći dio'!$L$6:$U$136,9,FALSE))</f>
        <v>Sveučilišta i veleučilišta u Republici Hrvatskoj</v>
      </c>
      <c r="C141" s="151">
        <v>43</v>
      </c>
      <c r="D141" s="146" t="str">
        <f t="shared" si="23"/>
        <v>Ostali prihodi za posebne namjene</v>
      </c>
      <c r="E141" s="151">
        <v>3212</v>
      </c>
      <c r="F141" s="146" t="str">
        <f t="shared" si="24"/>
        <v>Naknade za prijevoz, za rad na terenu i odvojeni život</v>
      </c>
      <c r="G141" s="184" t="s">
        <v>881</v>
      </c>
      <c r="H141" s="146" t="str">
        <f t="shared" si="25"/>
        <v>REDOVNA DJELATNOST SVEUČILIŠTA U RIJECI (IZ EVIDENCIJSKIH PRIHODA)</v>
      </c>
      <c r="I141" s="183">
        <v>11000</v>
      </c>
      <c r="J141" s="183">
        <v>11000</v>
      </c>
      <c r="K141" s="183"/>
      <c r="M141" s="141" t="str">
        <f t="shared" si="26"/>
        <v>321</v>
      </c>
      <c r="N141" s="141" t="str">
        <f t="shared" si="27"/>
        <v>32</v>
      </c>
      <c r="X141" t="s">
        <v>1111</v>
      </c>
      <c r="Y141" t="s">
        <v>1112</v>
      </c>
    </row>
    <row r="142" spans="1:25">
      <c r="A142" s="145" t="str">
        <f>IF(C142="","",VLOOKUP('Opći dio'!$C$3,'Opći dio'!$L$6:$U$136,10,FALSE))</f>
        <v>08006</v>
      </c>
      <c r="B142" s="145" t="str">
        <f>IF(C142="","",VLOOKUP('Opći dio'!$C$3,'Opći dio'!$L$6:$U$136,9,FALSE))</f>
        <v>Sveučilišta i veleučilišta u Republici Hrvatskoj</v>
      </c>
      <c r="C142" s="151">
        <v>43</v>
      </c>
      <c r="D142" s="146" t="str">
        <f t="shared" si="23"/>
        <v>Ostali prihodi za posebne namjene</v>
      </c>
      <c r="E142" s="151">
        <v>3211</v>
      </c>
      <c r="F142" s="146" t="str">
        <f t="shared" si="24"/>
        <v>Službena putovanja</v>
      </c>
      <c r="G142" s="184" t="s">
        <v>881</v>
      </c>
      <c r="H142" s="146" t="str">
        <f t="shared" si="25"/>
        <v>REDOVNA DJELATNOST SVEUČILIŠTA U RIJECI (IZ EVIDENCIJSKIH PRIHODA)</v>
      </c>
      <c r="I142" s="183">
        <v>21800</v>
      </c>
      <c r="J142" s="183">
        <v>33000</v>
      </c>
      <c r="K142" s="183"/>
      <c r="M142" s="141" t="str">
        <f t="shared" si="26"/>
        <v>321</v>
      </c>
      <c r="N142" s="141" t="str">
        <f t="shared" si="27"/>
        <v>32</v>
      </c>
      <c r="X142" t="s">
        <v>1113</v>
      </c>
      <c r="Y142" t="s">
        <v>1114</v>
      </c>
    </row>
    <row r="143" spans="1:25">
      <c r="A143" s="145" t="str">
        <f>IF(C143="","",VLOOKUP('Opći dio'!$C$3,'Opći dio'!$L$6:$U$136,10,FALSE))</f>
        <v>08006</v>
      </c>
      <c r="B143" s="145" t="str">
        <f>IF(C143="","",VLOOKUP('Opći dio'!$C$3,'Opći dio'!$L$6:$U$136,9,FALSE))</f>
        <v>Sveučilišta i veleučilišta u Republici Hrvatskoj</v>
      </c>
      <c r="C143" s="151">
        <v>43</v>
      </c>
      <c r="D143" s="146" t="str">
        <f t="shared" si="23"/>
        <v>Ostali prihodi za posebne namjene</v>
      </c>
      <c r="E143" s="151">
        <v>3213</v>
      </c>
      <c r="F143" s="146" t="str">
        <f t="shared" si="24"/>
        <v>Stručno usavršavanje zaposlenika</v>
      </c>
      <c r="G143" s="184" t="s">
        <v>881</v>
      </c>
      <c r="H143" s="146" t="str">
        <f t="shared" si="25"/>
        <v>REDOVNA DJELATNOST SVEUČILIŠTA U RIJECI (IZ EVIDENCIJSKIH PRIHODA)</v>
      </c>
      <c r="I143" s="183">
        <v>5200</v>
      </c>
      <c r="J143" s="183">
        <v>13000</v>
      </c>
      <c r="K143" s="183"/>
      <c r="M143" s="141" t="str">
        <f t="shared" si="26"/>
        <v>321</v>
      </c>
      <c r="N143" s="141" t="str">
        <f t="shared" si="27"/>
        <v>32</v>
      </c>
      <c r="X143" t="s">
        <v>1115</v>
      </c>
      <c r="Y143" t="s">
        <v>1116</v>
      </c>
    </row>
    <row r="144" spans="1:25">
      <c r="A144" s="145" t="str">
        <f>IF(C144="","",VLOOKUP('Opći dio'!$C$3,'Opći dio'!$L$6:$U$136,10,FALSE))</f>
        <v>08006</v>
      </c>
      <c r="B144" s="145" t="str">
        <f>IF(C144="","",VLOOKUP('Opći dio'!$C$3,'Opći dio'!$L$6:$U$136,9,FALSE))</f>
        <v>Sveučilišta i veleučilišta u Republici Hrvatskoj</v>
      </c>
      <c r="C144" s="151">
        <v>43</v>
      </c>
      <c r="D144" s="146" t="str">
        <f t="shared" si="23"/>
        <v>Ostali prihodi za posebne namjene</v>
      </c>
      <c r="E144" s="151">
        <v>3232</v>
      </c>
      <c r="F144" s="146" t="str">
        <f t="shared" si="24"/>
        <v>Usluge tekućeg i investicijskog održavanja</v>
      </c>
      <c r="G144" s="184" t="s">
        <v>881</v>
      </c>
      <c r="H144" s="146" t="str">
        <f t="shared" si="25"/>
        <v>REDOVNA DJELATNOST SVEUČILIŠTA U RIJECI (IZ EVIDENCIJSKIH PRIHODA)</v>
      </c>
      <c r="I144" s="183">
        <v>7500</v>
      </c>
      <c r="J144" s="183">
        <v>7500</v>
      </c>
      <c r="K144" s="183"/>
      <c r="M144" s="141" t="str">
        <f t="shared" si="26"/>
        <v>323</v>
      </c>
      <c r="N144" s="141" t="str">
        <f t="shared" si="27"/>
        <v>32</v>
      </c>
      <c r="X144" t="s">
        <v>1117</v>
      </c>
      <c r="Y144" t="s">
        <v>1118</v>
      </c>
    </row>
    <row r="145" spans="1:25">
      <c r="A145" s="145" t="str">
        <f>IF(C145="","",VLOOKUP('Opći dio'!$C$3,'Opći dio'!$L$6:$U$136,10,FALSE))</f>
        <v>08006</v>
      </c>
      <c r="B145" s="145" t="str">
        <f>IF(C145="","",VLOOKUP('Opći dio'!$C$3,'Opći dio'!$L$6:$U$136,9,FALSE))</f>
        <v>Sveučilišta i veleučilišta u Republici Hrvatskoj</v>
      </c>
      <c r="C145" s="151">
        <v>43</v>
      </c>
      <c r="D145" s="146" t="str">
        <f t="shared" si="23"/>
        <v>Ostali prihodi za posebne namjene</v>
      </c>
      <c r="E145" s="151">
        <v>3233</v>
      </c>
      <c r="F145" s="146" t="str">
        <f t="shared" si="24"/>
        <v>Usluge promidžbe i informiranja</v>
      </c>
      <c r="G145" s="184" t="s">
        <v>881</v>
      </c>
      <c r="H145" s="146" t="str">
        <f t="shared" si="25"/>
        <v>REDOVNA DJELATNOST SVEUČILIŠTA U RIJECI (IZ EVIDENCIJSKIH PRIHODA)</v>
      </c>
      <c r="I145" s="183"/>
      <c r="J145" s="183">
        <v>15000</v>
      </c>
      <c r="K145" s="183"/>
      <c r="M145" s="141" t="str">
        <f t="shared" si="26"/>
        <v>323</v>
      </c>
      <c r="N145" s="141" t="str">
        <f t="shared" si="27"/>
        <v>32</v>
      </c>
      <c r="X145" t="s">
        <v>1119</v>
      </c>
      <c r="Y145" t="s">
        <v>1120</v>
      </c>
    </row>
    <row r="146" spans="1:25">
      <c r="A146" s="145" t="str">
        <f>IF(C146="","",VLOOKUP('Opći dio'!$C$3,'Opći dio'!$L$6:$U$136,10,FALSE))</f>
        <v>08006</v>
      </c>
      <c r="B146" s="145" t="str">
        <f>IF(C146="","",VLOOKUP('Opći dio'!$C$3,'Opći dio'!$L$6:$U$136,9,FALSE))</f>
        <v>Sveučilišta i veleučilišta u Republici Hrvatskoj</v>
      </c>
      <c r="C146" s="151">
        <v>43</v>
      </c>
      <c r="D146" s="146" t="str">
        <f t="shared" si="23"/>
        <v>Ostali prihodi za posebne namjene</v>
      </c>
      <c r="E146" s="151">
        <v>3239</v>
      </c>
      <c r="F146" s="146" t="str">
        <f t="shared" si="24"/>
        <v>Ostale usluge</v>
      </c>
      <c r="G146" s="184" t="s">
        <v>881</v>
      </c>
      <c r="H146" s="146" t="str">
        <f t="shared" si="25"/>
        <v>REDOVNA DJELATNOST SVEUČILIŠTA U RIJECI (IZ EVIDENCIJSKIH PRIHODA)</v>
      </c>
      <c r="I146" s="183"/>
      <c r="J146" s="183">
        <v>3000</v>
      </c>
      <c r="K146" s="183"/>
      <c r="M146" s="141" t="str">
        <f t="shared" si="26"/>
        <v>323</v>
      </c>
      <c r="N146" s="141" t="str">
        <f t="shared" si="27"/>
        <v>32</v>
      </c>
      <c r="X146" t="s">
        <v>1121</v>
      </c>
      <c r="Y146" t="s">
        <v>1122</v>
      </c>
    </row>
    <row r="147" spans="1:25">
      <c r="A147" s="145" t="str">
        <f>IF(C147="","",VLOOKUP('Opći dio'!$C$3,'Opći dio'!$L$6:$U$136,10,FALSE))</f>
        <v>08006</v>
      </c>
      <c r="B147" s="145" t="str">
        <f>IF(C147="","",VLOOKUP('Opći dio'!$C$3,'Opći dio'!$L$6:$U$136,9,FALSE))</f>
        <v>Sveučilišta i veleučilišta u Republici Hrvatskoj</v>
      </c>
      <c r="C147" s="151">
        <v>43</v>
      </c>
      <c r="D147" s="146" t="str">
        <f t="shared" si="23"/>
        <v>Ostali prihodi za posebne namjene</v>
      </c>
      <c r="E147" s="151">
        <v>3721</v>
      </c>
      <c r="F147" s="146" t="str">
        <f t="shared" si="24"/>
        <v>Naknade građanima i kućanstvima u novcu</v>
      </c>
      <c r="G147" s="184" t="s">
        <v>881</v>
      </c>
      <c r="H147" s="146" t="str">
        <f t="shared" si="25"/>
        <v>REDOVNA DJELATNOST SVEUČILIŠTA U RIJECI (IZ EVIDENCIJSKIH PRIHODA)</v>
      </c>
      <c r="I147" s="183">
        <v>15000</v>
      </c>
      <c r="J147" s="183"/>
      <c r="K147" s="183"/>
      <c r="M147" s="141" t="str">
        <f t="shared" si="26"/>
        <v>372</v>
      </c>
      <c r="N147" s="141" t="str">
        <f t="shared" si="27"/>
        <v>37</v>
      </c>
      <c r="X147" t="s">
        <v>1123</v>
      </c>
      <c r="Y147" t="s">
        <v>1124</v>
      </c>
    </row>
    <row r="148" spans="1:25">
      <c r="A148" s="145" t="str">
        <f>IF(C148="","",VLOOKUP('Opći dio'!$C$3,'Opći dio'!$L$6:$U$136,10,FALSE))</f>
        <v>08006</v>
      </c>
      <c r="B148" s="145" t="str">
        <f>IF(C148="","",VLOOKUP('Opći dio'!$C$3,'Opći dio'!$L$6:$U$136,9,FALSE))</f>
        <v>Sveučilišta i veleučilišta u Republici Hrvatskoj</v>
      </c>
      <c r="C148" s="151">
        <v>43</v>
      </c>
      <c r="D148" s="146" t="str">
        <f t="shared" si="23"/>
        <v>Ostali prihodi za posebne namjene</v>
      </c>
      <c r="E148" s="151">
        <v>3299</v>
      </c>
      <c r="F148" s="146" t="str">
        <f t="shared" si="24"/>
        <v>Ostali nespomenuti rashodi poslovanja</v>
      </c>
      <c r="G148" s="184" t="s">
        <v>881</v>
      </c>
      <c r="H148" s="146" t="str">
        <f t="shared" si="25"/>
        <v>REDOVNA DJELATNOST SVEUČILIŠTA U RIJECI (IZ EVIDENCIJSKIH PRIHODA)</v>
      </c>
      <c r="I148" s="183">
        <v>7500</v>
      </c>
      <c r="J148" s="183">
        <v>7500</v>
      </c>
      <c r="K148" s="183"/>
      <c r="M148" s="141" t="str">
        <f t="shared" si="26"/>
        <v>329</v>
      </c>
      <c r="N148" s="141" t="str">
        <f t="shared" si="27"/>
        <v>32</v>
      </c>
      <c r="X148" t="s">
        <v>1125</v>
      </c>
      <c r="Y148" t="s">
        <v>1126</v>
      </c>
    </row>
    <row r="149" spans="1:25">
      <c r="A149" s="145" t="str">
        <f>IF(C149="","",VLOOKUP('Opći dio'!$C$3,'Opći dio'!$L$6:$U$136,10,FALSE))</f>
        <v>08006</v>
      </c>
      <c r="B149" s="145" t="str">
        <f>IF(C149="","",VLOOKUP('Opći dio'!$C$3,'Opći dio'!$L$6:$U$136,9,FALSE))</f>
        <v>Sveučilišta i veleučilišta u Republici Hrvatskoj</v>
      </c>
      <c r="C149" s="151">
        <v>43</v>
      </c>
      <c r="D149" s="146" t="str">
        <f t="shared" si="23"/>
        <v>Ostali prihodi za posebne namjene</v>
      </c>
      <c r="E149" s="151">
        <v>3299</v>
      </c>
      <c r="F149" s="146" t="str">
        <f t="shared" si="24"/>
        <v>Ostali nespomenuti rashodi poslovanja</v>
      </c>
      <c r="G149" s="184" t="s">
        <v>881</v>
      </c>
      <c r="H149" s="146" t="str">
        <f t="shared" si="25"/>
        <v>REDOVNA DJELATNOST SVEUČILIŠTA U RIJECI (IZ EVIDENCIJSKIH PRIHODA)</v>
      </c>
      <c r="I149" s="183">
        <v>4000</v>
      </c>
      <c r="J149" s="183"/>
      <c r="K149" s="183"/>
      <c r="M149" s="141" t="str">
        <f t="shared" si="26"/>
        <v>329</v>
      </c>
      <c r="N149" s="141" t="str">
        <f t="shared" si="27"/>
        <v>32</v>
      </c>
      <c r="X149" t="s">
        <v>1127</v>
      </c>
      <c r="Y149" t="s">
        <v>1128</v>
      </c>
    </row>
    <row r="150" spans="1:25">
      <c r="A150" s="145" t="str">
        <f>IF(C150="","",VLOOKUP('Opći dio'!$C$3,'Opći dio'!$L$6:$U$136,10,FALSE))</f>
        <v>08006</v>
      </c>
      <c r="B150" s="145" t="str">
        <f>IF(C150="","",VLOOKUP('Opći dio'!$C$3,'Opći dio'!$L$6:$U$136,9,FALSE))</f>
        <v>Sveučilišta i veleučilišta u Republici Hrvatskoj</v>
      </c>
      <c r="C150" s="151">
        <v>43</v>
      </c>
      <c r="D150" s="146" t="str">
        <f t="shared" si="23"/>
        <v>Ostali prihodi za posebne namjene</v>
      </c>
      <c r="E150" s="151">
        <v>3211</v>
      </c>
      <c r="F150" s="146" t="str">
        <f t="shared" si="24"/>
        <v>Službena putovanja</v>
      </c>
      <c r="G150" s="184" t="s">
        <v>881</v>
      </c>
      <c r="H150" s="146" t="str">
        <f t="shared" si="25"/>
        <v>REDOVNA DJELATNOST SVEUČILIŠTA U RIJECI (IZ EVIDENCIJSKIH PRIHODA)</v>
      </c>
      <c r="I150" s="183">
        <v>850</v>
      </c>
      <c r="J150" s="183"/>
      <c r="K150" s="183"/>
      <c r="M150" s="141" t="str">
        <f t="shared" si="26"/>
        <v>321</v>
      </c>
      <c r="N150" s="141" t="str">
        <f t="shared" si="27"/>
        <v>32</v>
      </c>
      <c r="X150" t="s">
        <v>1129</v>
      </c>
      <c r="Y150" t="s">
        <v>1130</v>
      </c>
    </row>
    <row r="151" spans="1:25">
      <c r="A151" s="145" t="str">
        <f>IF(C151="","",VLOOKUP('Opći dio'!$C$3,'Opći dio'!$L$6:$U$136,10,FALSE))</f>
        <v>08006</v>
      </c>
      <c r="B151" s="145" t="str">
        <f>IF(C151="","",VLOOKUP('Opći dio'!$C$3,'Opći dio'!$L$6:$U$136,9,FALSE))</f>
        <v>Sveučilišta i veleučilišta u Republici Hrvatskoj</v>
      </c>
      <c r="C151" s="151">
        <v>43</v>
      </c>
      <c r="D151" s="146" t="str">
        <f t="shared" si="23"/>
        <v>Ostali prihodi za posebne namjene</v>
      </c>
      <c r="E151" s="151">
        <v>3222</v>
      </c>
      <c r="F151" s="146" t="str">
        <f t="shared" si="24"/>
        <v>Materijal i sirovine</v>
      </c>
      <c r="G151" s="184" t="s">
        <v>881</v>
      </c>
      <c r="H151" s="146" t="str">
        <f t="shared" si="25"/>
        <v>REDOVNA DJELATNOST SVEUČILIŠTA U RIJECI (IZ EVIDENCIJSKIH PRIHODA)</v>
      </c>
      <c r="I151" s="183">
        <v>10500</v>
      </c>
      <c r="J151" s="183">
        <v>8500</v>
      </c>
      <c r="K151" s="183"/>
      <c r="M151" s="141" t="str">
        <f t="shared" si="26"/>
        <v>322</v>
      </c>
      <c r="N151" s="141" t="str">
        <f t="shared" si="27"/>
        <v>32</v>
      </c>
      <c r="X151" t="s">
        <v>1131</v>
      </c>
      <c r="Y151" t="s">
        <v>1132</v>
      </c>
    </row>
    <row r="152" spans="1:25">
      <c r="A152" s="145" t="str">
        <f>IF(C152="","",VLOOKUP('Opći dio'!$C$3,'Opći dio'!$L$6:$U$136,10,FALSE))</f>
        <v>08006</v>
      </c>
      <c r="B152" s="145" t="str">
        <f>IF(C152="","",VLOOKUP('Opći dio'!$C$3,'Opći dio'!$L$6:$U$136,9,FALSE))</f>
        <v>Sveučilišta i veleučilišta u Republici Hrvatskoj</v>
      </c>
      <c r="C152" s="151">
        <v>43</v>
      </c>
      <c r="D152" s="146" t="str">
        <f t="shared" si="23"/>
        <v>Ostali prihodi za posebne namjene</v>
      </c>
      <c r="E152" s="151">
        <v>3221</v>
      </c>
      <c r="F152" s="146" t="str">
        <f t="shared" si="24"/>
        <v>Uredski materijal i ostali materijalni rashodi</v>
      </c>
      <c r="G152" s="184" t="s">
        <v>881</v>
      </c>
      <c r="H152" s="146" t="str">
        <f t="shared" si="25"/>
        <v>REDOVNA DJELATNOST SVEUČILIŠTA U RIJECI (IZ EVIDENCIJSKIH PRIHODA)</v>
      </c>
      <c r="I152" s="183">
        <v>2000</v>
      </c>
      <c r="J152" s="183"/>
      <c r="K152" s="183"/>
      <c r="M152" s="141" t="str">
        <f t="shared" si="26"/>
        <v>322</v>
      </c>
      <c r="N152" s="141" t="str">
        <f t="shared" si="27"/>
        <v>32</v>
      </c>
      <c r="X152" t="s">
        <v>1133</v>
      </c>
      <c r="Y152" t="s">
        <v>1134</v>
      </c>
    </row>
    <row r="153" spans="1:25">
      <c r="A153" s="145" t="str">
        <f>IF(C153="","",VLOOKUP('Opći dio'!$C$3,'Opći dio'!$L$6:$U$136,10,FALSE))</f>
        <v>08006</v>
      </c>
      <c r="B153" s="145" t="str">
        <f>IF(C153="","",VLOOKUP('Opći dio'!$C$3,'Opći dio'!$L$6:$U$136,9,FALSE))</f>
        <v>Sveučilišta i veleučilišta u Republici Hrvatskoj</v>
      </c>
      <c r="C153" s="151">
        <v>43</v>
      </c>
      <c r="D153" s="146" t="str">
        <f t="shared" si="23"/>
        <v>Ostali prihodi za posebne namjene</v>
      </c>
      <c r="E153" s="151">
        <v>4225</v>
      </c>
      <c r="F153" s="146" t="str">
        <f t="shared" si="24"/>
        <v>Instrumenti, uređaji i strojevi</v>
      </c>
      <c r="G153" s="184" t="s">
        <v>881</v>
      </c>
      <c r="H153" s="146" t="str">
        <f t="shared" si="25"/>
        <v>REDOVNA DJELATNOST SVEUČILIŠTA U RIJECI (IZ EVIDENCIJSKIH PRIHODA)</v>
      </c>
      <c r="I153" s="183">
        <v>77050</v>
      </c>
      <c r="J153" s="183"/>
      <c r="K153" s="183">
        <v>43</v>
      </c>
      <c r="M153" s="141" t="str">
        <f t="shared" si="26"/>
        <v>422</v>
      </c>
      <c r="N153" s="141" t="str">
        <f t="shared" si="27"/>
        <v>42</v>
      </c>
      <c r="X153" t="s">
        <v>1135</v>
      </c>
      <c r="Y153" t="s">
        <v>1136</v>
      </c>
    </row>
    <row r="154" spans="1:25">
      <c r="A154" s="145" t="str">
        <f>IF(C154="","",VLOOKUP('Opći dio'!$C$3,'Opći dio'!$L$6:$U$136,10,FALSE))</f>
        <v>08006</v>
      </c>
      <c r="B154" s="145" t="str">
        <f>IF(C154="","",VLOOKUP('Opći dio'!$C$3,'Opći dio'!$L$6:$U$136,9,FALSE))</f>
        <v>Sveučilišta i veleučilišta u Republici Hrvatskoj</v>
      </c>
      <c r="C154" s="151">
        <v>43</v>
      </c>
      <c r="D154" s="146" t="str">
        <f t="shared" si="23"/>
        <v>Ostali prihodi za posebne namjene</v>
      </c>
      <c r="E154" s="151">
        <v>3235</v>
      </c>
      <c r="F154" s="146" t="str">
        <f t="shared" si="24"/>
        <v>Zakupnine i najamnine</v>
      </c>
      <c r="G154" s="184" t="s">
        <v>881</v>
      </c>
      <c r="H154" s="146" t="str">
        <f t="shared" si="25"/>
        <v>REDOVNA DJELATNOST SVEUČILIŠTA U RIJECI (IZ EVIDENCIJSKIH PRIHODA)</v>
      </c>
      <c r="I154" s="183">
        <v>7000</v>
      </c>
      <c r="J154" s="183"/>
      <c r="K154" s="183"/>
      <c r="M154" s="141" t="str">
        <f t="shared" si="26"/>
        <v>323</v>
      </c>
      <c r="N154" s="141" t="str">
        <f t="shared" si="27"/>
        <v>32</v>
      </c>
      <c r="X154" t="s">
        <v>1137</v>
      </c>
      <c r="Y154" t="s">
        <v>1138</v>
      </c>
    </row>
    <row r="155" spans="1:25">
      <c r="A155" s="145" t="str">
        <f>IF(C155="","",VLOOKUP('Opći dio'!$C$3,'Opći dio'!$L$6:$U$136,10,FALSE))</f>
        <v>08006</v>
      </c>
      <c r="B155" s="145" t="str">
        <f>IF(C155="","",VLOOKUP('Opći dio'!$C$3,'Opći dio'!$L$6:$U$136,9,FALSE))</f>
        <v>Sveučilišta i veleučilišta u Republici Hrvatskoj</v>
      </c>
      <c r="C155" s="151">
        <v>43</v>
      </c>
      <c r="D155" s="146" t="str">
        <f t="shared" si="23"/>
        <v>Ostali prihodi za posebne namjene</v>
      </c>
      <c r="E155" s="151">
        <v>3232</v>
      </c>
      <c r="F155" s="146" t="str">
        <f t="shared" si="24"/>
        <v>Usluge tekućeg i investicijskog održavanja</v>
      </c>
      <c r="G155" s="184" t="s">
        <v>881</v>
      </c>
      <c r="H155" s="146" t="str">
        <f t="shared" si="25"/>
        <v>REDOVNA DJELATNOST SVEUČILIŠTA U RIJECI (IZ EVIDENCIJSKIH PRIHODA)</v>
      </c>
      <c r="I155" s="183">
        <v>5000</v>
      </c>
      <c r="J155" s="183"/>
      <c r="K155" s="183"/>
      <c r="M155" s="141" t="str">
        <f t="shared" si="26"/>
        <v>323</v>
      </c>
      <c r="N155" s="141" t="str">
        <f t="shared" si="27"/>
        <v>32</v>
      </c>
      <c r="X155" t="s">
        <v>1139</v>
      </c>
      <c r="Y155" t="s">
        <v>1140</v>
      </c>
    </row>
    <row r="156" spans="1:25">
      <c r="A156" s="145" t="str">
        <f>IF(C156="","",VLOOKUP('Opći dio'!$C$3,'Opći dio'!$L$6:$U$136,10,FALSE))</f>
        <v>08006</v>
      </c>
      <c r="B156" s="145" t="str">
        <f>IF(C156="","",VLOOKUP('Opći dio'!$C$3,'Opći dio'!$L$6:$U$136,9,FALSE))</f>
        <v>Sveučilišta i veleučilišta u Republici Hrvatskoj</v>
      </c>
      <c r="C156" s="151">
        <v>43</v>
      </c>
      <c r="D156" s="146" t="str">
        <f t="shared" si="23"/>
        <v>Ostali prihodi za posebne namjene</v>
      </c>
      <c r="E156" s="151">
        <v>3233</v>
      </c>
      <c r="F156" s="146" t="str">
        <f t="shared" si="24"/>
        <v>Usluge promidžbe i informiranja</v>
      </c>
      <c r="G156" s="184" t="s">
        <v>881</v>
      </c>
      <c r="H156" s="146" t="str">
        <f t="shared" si="25"/>
        <v>REDOVNA DJELATNOST SVEUČILIŠTA U RIJECI (IZ EVIDENCIJSKIH PRIHODA)</v>
      </c>
      <c r="I156" s="183">
        <v>4000</v>
      </c>
      <c r="J156" s="183"/>
      <c r="K156" s="183"/>
      <c r="M156" s="141" t="str">
        <f t="shared" si="26"/>
        <v>323</v>
      </c>
      <c r="N156" s="141" t="str">
        <f t="shared" si="27"/>
        <v>32</v>
      </c>
      <c r="X156" t="s">
        <v>1141</v>
      </c>
      <c r="Y156" t="s">
        <v>1142</v>
      </c>
    </row>
    <row r="157" spans="1:25">
      <c r="A157" s="145" t="str">
        <f>IF(C157="","",VLOOKUP('Opći dio'!$C$3,'Opći dio'!$L$6:$U$136,10,FALSE))</f>
        <v>08006</v>
      </c>
      <c r="B157" s="145" t="str">
        <f>IF(C157="","",VLOOKUP('Opći dio'!$C$3,'Opći dio'!$L$6:$U$136,9,FALSE))</f>
        <v>Sveučilišta i veleučilišta u Republici Hrvatskoj</v>
      </c>
      <c r="C157" s="151">
        <v>43</v>
      </c>
      <c r="D157" s="146" t="str">
        <f t="shared" si="23"/>
        <v>Ostali prihodi za posebne namjene</v>
      </c>
      <c r="E157" s="151">
        <v>3211</v>
      </c>
      <c r="F157" s="146" t="str">
        <f t="shared" si="24"/>
        <v>Službena putovanja</v>
      </c>
      <c r="G157" s="184" t="s">
        <v>881</v>
      </c>
      <c r="H157" s="146" t="str">
        <f t="shared" si="25"/>
        <v>REDOVNA DJELATNOST SVEUČILIŠTA U RIJECI (IZ EVIDENCIJSKIH PRIHODA)</v>
      </c>
      <c r="I157" s="183">
        <v>17000</v>
      </c>
      <c r="J157" s="183">
        <v>22000</v>
      </c>
      <c r="K157" s="183"/>
      <c r="M157" s="141" t="str">
        <f t="shared" si="26"/>
        <v>321</v>
      </c>
      <c r="N157" s="141" t="str">
        <f t="shared" si="27"/>
        <v>32</v>
      </c>
      <c r="X157" t="s">
        <v>1143</v>
      </c>
      <c r="Y157" t="s">
        <v>1144</v>
      </c>
    </row>
    <row r="158" spans="1:25">
      <c r="A158" s="145" t="str">
        <f>IF(C158="","",VLOOKUP('Opći dio'!$C$3,'Opći dio'!$L$6:$U$136,10,FALSE))</f>
        <v>08006</v>
      </c>
      <c r="B158" s="145" t="str">
        <f>IF(C158="","",VLOOKUP('Opći dio'!$C$3,'Opći dio'!$L$6:$U$136,9,FALSE))</f>
        <v>Sveučilišta i veleučilišta u Republici Hrvatskoj</v>
      </c>
      <c r="C158" s="151">
        <v>43</v>
      </c>
      <c r="D158" s="146" t="str">
        <f t="shared" si="23"/>
        <v>Ostali prihodi za posebne namjene</v>
      </c>
      <c r="E158" s="151">
        <v>3213</v>
      </c>
      <c r="F158" s="146" t="str">
        <f t="shared" si="24"/>
        <v>Stručno usavršavanje zaposlenika</v>
      </c>
      <c r="G158" s="184" t="s">
        <v>881</v>
      </c>
      <c r="H158" s="146" t="str">
        <f t="shared" si="25"/>
        <v>REDOVNA DJELATNOST SVEUČILIŠTA U RIJECI (IZ EVIDENCIJSKIH PRIHODA)</v>
      </c>
      <c r="I158" s="183">
        <v>8000</v>
      </c>
      <c r="J158" s="183">
        <v>18000</v>
      </c>
      <c r="K158" s="183"/>
      <c r="M158" s="141" t="str">
        <f t="shared" si="26"/>
        <v>321</v>
      </c>
      <c r="N158" s="141" t="str">
        <f t="shared" si="27"/>
        <v>32</v>
      </c>
      <c r="X158" t="s">
        <v>1145</v>
      </c>
      <c r="Y158" t="s">
        <v>1146</v>
      </c>
    </row>
    <row r="159" spans="1:25">
      <c r="A159" s="145" t="str">
        <f>IF(C159="","",VLOOKUP('Opći dio'!$C$3,'Opći dio'!$L$6:$U$136,10,FALSE))</f>
        <v>08006</v>
      </c>
      <c r="B159" s="145" t="str">
        <f>IF(C159="","",VLOOKUP('Opći dio'!$C$3,'Opći dio'!$L$6:$U$136,9,FALSE))</f>
        <v>Sveučilišta i veleučilišta u Republici Hrvatskoj</v>
      </c>
      <c r="C159" s="151">
        <v>43</v>
      </c>
      <c r="D159" s="146" t="str">
        <f t="shared" si="23"/>
        <v>Ostali prihodi za posebne namjene</v>
      </c>
      <c r="E159" s="151">
        <v>3237</v>
      </c>
      <c r="F159" s="146" t="str">
        <f t="shared" si="24"/>
        <v>Intelektualne i osobne usluge</v>
      </c>
      <c r="G159" s="184" t="s">
        <v>881</v>
      </c>
      <c r="H159" s="146" t="str">
        <f t="shared" si="25"/>
        <v>REDOVNA DJELATNOST SVEUČILIŠTA U RIJECI (IZ EVIDENCIJSKIH PRIHODA)</v>
      </c>
      <c r="I159" s="183"/>
      <c r="J159" s="183">
        <v>10000</v>
      </c>
      <c r="K159" s="183"/>
      <c r="M159" s="141" t="str">
        <f t="shared" si="26"/>
        <v>323</v>
      </c>
      <c r="N159" s="141" t="str">
        <f t="shared" si="27"/>
        <v>32</v>
      </c>
      <c r="X159" s="141" t="s">
        <v>1147</v>
      </c>
      <c r="Y159" s="141" t="s">
        <v>1148</v>
      </c>
    </row>
    <row r="160" spans="1:25">
      <c r="A160" s="145" t="str">
        <f>IF(C160="","",VLOOKUP('Opći dio'!$C$3,'Opći dio'!$L$6:$U$136,10,FALSE))</f>
        <v>08006</v>
      </c>
      <c r="B160" s="145" t="str">
        <f>IF(C160="","",VLOOKUP('Opći dio'!$C$3,'Opći dio'!$L$6:$U$136,9,FALSE))</f>
        <v>Sveučilišta i veleučilišta u Republici Hrvatskoj</v>
      </c>
      <c r="C160" s="151">
        <v>43</v>
      </c>
      <c r="D160" s="146" t="str">
        <f t="shared" si="23"/>
        <v>Ostali prihodi za posebne namjene</v>
      </c>
      <c r="E160" s="151">
        <v>3239</v>
      </c>
      <c r="F160" s="146" t="str">
        <f t="shared" si="24"/>
        <v>Ostale usluge</v>
      </c>
      <c r="G160" s="184" t="s">
        <v>881</v>
      </c>
      <c r="H160" s="146" t="str">
        <f t="shared" si="25"/>
        <v>REDOVNA DJELATNOST SVEUČILIŠTA U RIJECI (IZ EVIDENCIJSKIH PRIHODA)</v>
      </c>
      <c r="I160" s="183"/>
      <c r="J160" s="183">
        <v>8000</v>
      </c>
      <c r="K160" s="183"/>
      <c r="M160" s="141" t="str">
        <f t="shared" si="26"/>
        <v>323</v>
      </c>
      <c r="N160" s="141" t="str">
        <f t="shared" si="27"/>
        <v>32</v>
      </c>
      <c r="X160" s="141" t="s">
        <v>1149</v>
      </c>
      <c r="Y160" s="141" t="s">
        <v>1150</v>
      </c>
    </row>
    <row r="161" spans="1:25">
      <c r="A161" s="145" t="str">
        <f>IF(C161="","",VLOOKUP('Opći dio'!$C$3,'Opći dio'!$L$6:$U$136,10,FALSE))</f>
        <v>08006</v>
      </c>
      <c r="B161" s="145" t="str">
        <f>IF(C161="","",VLOOKUP('Opći dio'!$C$3,'Opći dio'!$L$6:$U$136,9,FALSE))</f>
        <v>Sveučilišta i veleučilišta u Republici Hrvatskoj</v>
      </c>
      <c r="C161" s="151">
        <v>43</v>
      </c>
      <c r="D161" s="146" t="str">
        <f t="shared" si="23"/>
        <v>Ostali prihodi za posebne namjene</v>
      </c>
      <c r="E161" s="151">
        <v>3299</v>
      </c>
      <c r="F161" s="146" t="str">
        <f t="shared" si="24"/>
        <v>Ostali nespomenuti rashodi poslovanja</v>
      </c>
      <c r="G161" s="184" t="s">
        <v>881</v>
      </c>
      <c r="H161" s="146" t="str">
        <f t="shared" si="25"/>
        <v>REDOVNA DJELATNOST SVEUČILIŠTA U RIJECI (IZ EVIDENCIJSKIH PRIHODA)</v>
      </c>
      <c r="I161" s="183"/>
      <c r="J161" s="183">
        <v>7000</v>
      </c>
      <c r="K161" s="183"/>
      <c r="M161" s="141" t="str">
        <f t="shared" si="26"/>
        <v>329</v>
      </c>
      <c r="N161" s="141" t="str">
        <f t="shared" si="27"/>
        <v>32</v>
      </c>
      <c r="X161" s="141" t="s">
        <v>1151</v>
      </c>
      <c r="Y161" s="141" t="s">
        <v>1152</v>
      </c>
    </row>
    <row r="162" spans="1:25">
      <c r="A162" s="145" t="str">
        <f>IF(C162="","",VLOOKUP('Opći dio'!$C$3,'Opći dio'!$L$6:$U$136,10,FALSE))</f>
        <v>08006</v>
      </c>
      <c r="B162" s="145" t="str">
        <f>IF(C162="","",VLOOKUP('Opći dio'!$C$3,'Opći dio'!$L$6:$U$136,9,FALSE))</f>
        <v>Sveučilišta i veleučilišta u Republici Hrvatskoj</v>
      </c>
      <c r="C162" s="151">
        <v>52</v>
      </c>
      <c r="D162" s="146" t="str">
        <f t="shared" si="23"/>
        <v>Ostale pomoći</v>
      </c>
      <c r="E162" s="151">
        <v>3211</v>
      </c>
      <c r="F162" s="146" t="str">
        <f t="shared" si="24"/>
        <v>Službena putovanja</v>
      </c>
      <c r="G162" s="184" t="s">
        <v>881</v>
      </c>
      <c r="H162" s="146" t="str">
        <f t="shared" si="25"/>
        <v>REDOVNA DJELATNOST SVEUČILIŠTA U RIJECI (IZ EVIDENCIJSKIH PRIHODA)</v>
      </c>
      <c r="I162" s="183">
        <v>5893</v>
      </c>
      <c r="J162" s="183">
        <v>5219</v>
      </c>
      <c r="K162" s="183"/>
      <c r="M162" s="141" t="str">
        <f t="shared" si="26"/>
        <v>321</v>
      </c>
      <c r="N162" s="141" t="str">
        <f t="shared" si="27"/>
        <v>32</v>
      </c>
      <c r="X162" s="141" t="s">
        <v>1153</v>
      </c>
      <c r="Y162" s="141" t="s">
        <v>1154</v>
      </c>
    </row>
    <row r="163" spans="1:25">
      <c r="A163" s="145" t="str">
        <f>IF(C163="","",VLOOKUP('Opći dio'!$C$3,'Opći dio'!$L$6:$U$136,10,FALSE))</f>
        <v>08006</v>
      </c>
      <c r="B163" s="145" t="str">
        <f>IF(C163="","",VLOOKUP('Opći dio'!$C$3,'Opći dio'!$L$6:$U$136,9,FALSE))</f>
        <v>Sveučilišta i veleučilišta u Republici Hrvatskoj</v>
      </c>
      <c r="C163" s="151">
        <v>52</v>
      </c>
      <c r="D163" s="146" t="str">
        <f t="shared" si="23"/>
        <v>Ostale pomoći</v>
      </c>
      <c r="E163" s="151">
        <v>3111</v>
      </c>
      <c r="F163" s="146" t="str">
        <f t="shared" si="24"/>
        <v>Plaće za redovan rad</v>
      </c>
      <c r="G163" s="184" t="s">
        <v>881</v>
      </c>
      <c r="H163" s="146" t="str">
        <f t="shared" si="25"/>
        <v>REDOVNA DJELATNOST SVEUČILIŠTA U RIJECI (IZ EVIDENCIJSKIH PRIHODA)</v>
      </c>
      <c r="I163" s="183">
        <v>98233</v>
      </c>
      <c r="J163" s="183">
        <v>98233</v>
      </c>
      <c r="K163" s="183">
        <v>98233</v>
      </c>
      <c r="M163" s="141" t="str">
        <f t="shared" si="26"/>
        <v>311</v>
      </c>
      <c r="N163" s="141" t="str">
        <f t="shared" si="27"/>
        <v>31</v>
      </c>
      <c r="X163" s="141" t="s">
        <v>1155</v>
      </c>
      <c r="Y163" s="141" t="s">
        <v>1156</v>
      </c>
    </row>
    <row r="164" spans="1:25">
      <c r="A164" s="145" t="str">
        <f>IF(C164="","",VLOOKUP('Opći dio'!$C$3,'Opći dio'!$L$6:$U$136,10,FALSE))</f>
        <v>08006</v>
      </c>
      <c r="B164" s="145" t="str">
        <f>IF(C164="","",VLOOKUP('Opći dio'!$C$3,'Opći dio'!$L$6:$U$136,9,FALSE))</f>
        <v>Sveučilišta i veleučilišta u Republici Hrvatskoj</v>
      </c>
      <c r="C164" s="151">
        <v>52</v>
      </c>
      <c r="D164" s="146" t="str">
        <f t="shared" si="23"/>
        <v>Ostale pomoći</v>
      </c>
      <c r="E164" s="151">
        <v>3132</v>
      </c>
      <c r="F164" s="146" t="str">
        <f t="shared" si="24"/>
        <v>Doprinosi za obvezno zdravstveno osiguranje</v>
      </c>
      <c r="G164" s="184" t="s">
        <v>881</v>
      </c>
      <c r="H164" s="146" t="str">
        <f t="shared" si="25"/>
        <v>REDOVNA DJELATNOST SVEUČILIŠTA U RIJECI (IZ EVIDENCIJSKIH PRIHODA)</v>
      </c>
      <c r="I164" s="183">
        <v>16209</v>
      </c>
      <c r="J164" s="183">
        <v>16209</v>
      </c>
      <c r="K164" s="183">
        <v>16209</v>
      </c>
      <c r="M164" s="141" t="str">
        <f t="shared" si="26"/>
        <v>313</v>
      </c>
      <c r="N164" s="141" t="str">
        <f t="shared" si="27"/>
        <v>31</v>
      </c>
      <c r="X164" s="141" t="s">
        <v>1157</v>
      </c>
      <c r="Y164" s="141" t="s">
        <v>1158</v>
      </c>
    </row>
    <row r="165" spans="1:25">
      <c r="A165" s="145" t="str">
        <f>IF(C165="","",VLOOKUP('Opći dio'!$C$3,'Opći dio'!$L$6:$U$136,10,FALSE))</f>
        <v>08006</v>
      </c>
      <c r="B165" s="145" t="str">
        <f>IF(C165="","",VLOOKUP('Opći dio'!$C$3,'Opći dio'!$L$6:$U$136,9,FALSE))</f>
        <v>Sveučilišta i veleučilišta u Republici Hrvatskoj</v>
      </c>
      <c r="C165" s="151">
        <v>52</v>
      </c>
      <c r="D165" s="146" t="str">
        <f t="shared" si="23"/>
        <v>Ostale pomoći</v>
      </c>
      <c r="E165" s="151">
        <v>3212</v>
      </c>
      <c r="F165" s="146" t="str">
        <f t="shared" si="24"/>
        <v>Naknade za prijevoz, za rad na terenu i odvojeni život</v>
      </c>
      <c r="G165" s="184" t="s">
        <v>881</v>
      </c>
      <c r="H165" s="146" t="str">
        <f t="shared" si="25"/>
        <v>REDOVNA DJELATNOST SVEUČILIŠTA U RIJECI (IZ EVIDENCIJSKIH PRIHODA)</v>
      </c>
      <c r="I165" s="183">
        <v>3000</v>
      </c>
      <c r="J165" s="183">
        <v>3000</v>
      </c>
      <c r="K165" s="183">
        <v>3000</v>
      </c>
      <c r="M165" s="141" t="str">
        <f t="shared" si="26"/>
        <v>321</v>
      </c>
      <c r="N165" s="141" t="str">
        <f t="shared" si="27"/>
        <v>32</v>
      </c>
      <c r="X165" s="141" t="s">
        <v>1159</v>
      </c>
      <c r="Y165" s="141" t="s">
        <v>1160</v>
      </c>
    </row>
    <row r="166" spans="1:25">
      <c r="A166" s="145" t="str">
        <f>IF(C166="","",VLOOKUP('Opći dio'!$C$3,'Opći dio'!$L$6:$U$136,10,FALSE))</f>
        <v>08006</v>
      </c>
      <c r="B166" s="145" t="str">
        <f>IF(C166="","",VLOOKUP('Opći dio'!$C$3,'Opći dio'!$L$6:$U$136,9,FALSE))</f>
        <v>Sveučilišta i veleučilišta u Republici Hrvatskoj</v>
      </c>
      <c r="C166" s="151">
        <v>52</v>
      </c>
      <c r="D166" s="146" t="str">
        <f t="shared" si="23"/>
        <v>Ostale pomoći</v>
      </c>
      <c r="E166" s="151">
        <v>3211</v>
      </c>
      <c r="F166" s="146" t="str">
        <f t="shared" si="24"/>
        <v>Službena putovanja</v>
      </c>
      <c r="G166" s="184" t="s">
        <v>881</v>
      </c>
      <c r="H166" s="146" t="str">
        <f t="shared" si="25"/>
        <v>REDOVNA DJELATNOST SVEUČILIŠTA U RIJECI (IZ EVIDENCIJSKIH PRIHODA)</v>
      </c>
      <c r="I166" s="183">
        <v>23639</v>
      </c>
      <c r="J166" s="183">
        <v>23639</v>
      </c>
      <c r="K166" s="183">
        <v>23638</v>
      </c>
      <c r="M166" s="141" t="str">
        <f t="shared" si="26"/>
        <v>321</v>
      </c>
      <c r="N166" s="141" t="str">
        <f t="shared" si="27"/>
        <v>32</v>
      </c>
      <c r="X166" s="141" t="s">
        <v>1161</v>
      </c>
      <c r="Y166" s="141" t="s">
        <v>1162</v>
      </c>
    </row>
    <row r="167" spans="1:25">
      <c r="A167" s="145" t="str">
        <f>IF(C167="","",VLOOKUP('Opći dio'!$C$3,'Opći dio'!$L$6:$U$136,10,FALSE))</f>
        <v>08006</v>
      </c>
      <c r="B167" s="145" t="str">
        <f>IF(C167="","",VLOOKUP('Opći dio'!$C$3,'Opći dio'!$L$6:$U$136,9,FALSE))</f>
        <v>Sveučilišta i veleučilišta u Republici Hrvatskoj</v>
      </c>
      <c r="C167" s="151">
        <v>52</v>
      </c>
      <c r="D167" s="146" t="str">
        <f t="shared" si="23"/>
        <v>Ostale pomoći</v>
      </c>
      <c r="E167" s="151">
        <v>3232</v>
      </c>
      <c r="F167" s="146" t="str">
        <f t="shared" si="24"/>
        <v>Usluge tekućeg i investicijskog održavanja</v>
      </c>
      <c r="G167" s="184" t="s">
        <v>881</v>
      </c>
      <c r="H167" s="146" t="str">
        <f t="shared" si="25"/>
        <v>REDOVNA DJELATNOST SVEUČILIŠTA U RIJECI (IZ EVIDENCIJSKIH PRIHODA)</v>
      </c>
      <c r="I167" s="183">
        <v>11500</v>
      </c>
      <c r="J167" s="183"/>
      <c r="K167" s="183"/>
      <c r="M167" s="141" t="str">
        <f t="shared" si="26"/>
        <v>323</v>
      </c>
      <c r="N167" s="141" t="str">
        <f t="shared" si="27"/>
        <v>32</v>
      </c>
      <c r="X167" s="141" t="s">
        <v>1163</v>
      </c>
      <c r="Y167" s="141" t="s">
        <v>1164</v>
      </c>
    </row>
    <row r="168" spans="1:25">
      <c r="A168" s="145" t="str">
        <f>IF(C168="","",VLOOKUP('Opći dio'!$C$3,'Opći dio'!$L$6:$U$136,10,FALSE))</f>
        <v>08006</v>
      </c>
      <c r="B168" s="145" t="str">
        <f>IF(C168="","",VLOOKUP('Opći dio'!$C$3,'Opći dio'!$L$6:$U$136,9,FALSE))</f>
        <v>Sveučilišta i veleučilišta u Republici Hrvatskoj</v>
      </c>
      <c r="C168" s="151">
        <v>52</v>
      </c>
      <c r="D168" s="146" t="str">
        <f t="shared" si="23"/>
        <v>Ostale pomoći</v>
      </c>
      <c r="E168" s="151">
        <v>3237</v>
      </c>
      <c r="F168" s="146" t="str">
        <f t="shared" si="24"/>
        <v>Intelektualne i osobne usluge</v>
      </c>
      <c r="G168" s="184" t="s">
        <v>881</v>
      </c>
      <c r="H168" s="146" t="str">
        <f t="shared" si="25"/>
        <v>REDOVNA DJELATNOST SVEUČILIŠTA U RIJECI (IZ EVIDENCIJSKIH PRIHODA)</v>
      </c>
      <c r="I168" s="183"/>
      <c r="J168" s="183">
        <v>2500</v>
      </c>
      <c r="K168" s="183">
        <v>2500</v>
      </c>
      <c r="M168" s="141" t="str">
        <f t="shared" si="26"/>
        <v>323</v>
      </c>
      <c r="N168" s="141" t="str">
        <f t="shared" si="27"/>
        <v>32</v>
      </c>
      <c r="X168" s="141" t="s">
        <v>1165</v>
      </c>
      <c r="Y168" s="141" t="s">
        <v>757</v>
      </c>
    </row>
    <row r="169" spans="1:25">
      <c r="A169" s="145" t="str">
        <f>IF(C169="","",VLOOKUP('Opći dio'!$C$3,'Opći dio'!$L$6:$U$136,10,FALSE))</f>
        <v>08006</v>
      </c>
      <c r="B169" s="145" t="str">
        <f>IF(C169="","",VLOOKUP('Opći dio'!$C$3,'Opći dio'!$L$6:$U$136,9,FALSE))</f>
        <v>Sveučilišta i veleučilišta u Republici Hrvatskoj</v>
      </c>
      <c r="C169" s="151">
        <v>52</v>
      </c>
      <c r="D169" s="146" t="str">
        <f t="shared" si="23"/>
        <v>Ostale pomoći</v>
      </c>
      <c r="E169" s="151">
        <v>3299</v>
      </c>
      <c r="F169" s="146" t="str">
        <f t="shared" si="24"/>
        <v>Ostali nespomenuti rashodi poslovanja</v>
      </c>
      <c r="G169" s="184" t="s">
        <v>881</v>
      </c>
      <c r="H169" s="146" t="str">
        <f t="shared" si="25"/>
        <v>REDOVNA DJELATNOST SVEUČILIŠTA U RIJECI (IZ EVIDENCIJSKIH PRIHODA)</v>
      </c>
      <c r="I169" s="183">
        <v>23630</v>
      </c>
      <c r="J169" s="183">
        <v>23630</v>
      </c>
      <c r="K169" s="183">
        <v>21990</v>
      </c>
      <c r="M169" s="141" t="str">
        <f t="shared" si="26"/>
        <v>329</v>
      </c>
      <c r="N169" s="141" t="str">
        <f t="shared" si="27"/>
        <v>32</v>
      </c>
      <c r="X169" s="141" t="s">
        <v>1166</v>
      </c>
      <c r="Y169" s="141" t="s">
        <v>1167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4"/>
      <c r="H170" s="146" t="str">
        <f t="shared" si="25"/>
        <v/>
      </c>
      <c r="I170" s="183"/>
      <c r="J170" s="183"/>
      <c r="K170" s="183"/>
      <c r="M170" s="141" t="str">
        <f t="shared" si="26"/>
        <v/>
      </c>
      <c r="N170" s="141" t="str">
        <f t="shared" si="27"/>
        <v/>
      </c>
      <c r="X170" s="141" t="s">
        <v>1168</v>
      </c>
      <c r="Y170" s="141" t="s">
        <v>1169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4"/>
      <c r="H171" s="146" t="str">
        <f t="shared" si="25"/>
        <v/>
      </c>
      <c r="I171" s="183"/>
      <c r="J171" s="183"/>
      <c r="K171" s="183"/>
      <c r="M171" s="141" t="str">
        <f t="shared" si="26"/>
        <v/>
      </c>
      <c r="N171" s="141" t="str">
        <f t="shared" si="27"/>
        <v/>
      </c>
      <c r="X171" s="141" t="s">
        <v>1170</v>
      </c>
      <c r="Y171" s="141" t="s">
        <v>1171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4"/>
      <c r="H172" s="146" t="str">
        <f t="shared" si="25"/>
        <v/>
      </c>
      <c r="I172" s="183"/>
      <c r="J172" s="183"/>
      <c r="K172" s="183"/>
      <c r="M172" s="141" t="str">
        <f t="shared" si="26"/>
        <v/>
      </c>
      <c r="N172" s="141" t="str">
        <f t="shared" si="27"/>
        <v/>
      </c>
      <c r="X172" s="141" t="s">
        <v>1172</v>
      </c>
      <c r="Y172" s="141" t="s">
        <v>1173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4"/>
      <c r="H173" s="146" t="str">
        <f t="shared" si="25"/>
        <v/>
      </c>
      <c r="I173" s="183"/>
      <c r="J173" s="183"/>
      <c r="K173" s="183"/>
      <c r="M173" s="141" t="str">
        <f t="shared" si="26"/>
        <v/>
      </c>
      <c r="N173" s="141" t="str">
        <f t="shared" si="27"/>
        <v/>
      </c>
      <c r="X173" s="141" t="s">
        <v>1174</v>
      </c>
      <c r="Y173" s="141" t="s">
        <v>1175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4"/>
      <c r="H174" s="146" t="str">
        <f t="shared" si="25"/>
        <v/>
      </c>
      <c r="I174" s="183"/>
      <c r="J174" s="183"/>
      <c r="K174" s="183"/>
      <c r="M174" s="141" t="str">
        <f t="shared" si="26"/>
        <v/>
      </c>
      <c r="N174" s="141" t="str">
        <f t="shared" si="27"/>
        <v/>
      </c>
      <c r="X174" s="141" t="s">
        <v>1176</v>
      </c>
      <c r="Y174" s="141" t="s">
        <v>1177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4"/>
      <c r="H175" s="146" t="str">
        <f t="shared" si="25"/>
        <v/>
      </c>
      <c r="I175" s="183"/>
      <c r="J175" s="183"/>
      <c r="K175" s="183"/>
      <c r="M175" s="141" t="str">
        <f t="shared" si="26"/>
        <v/>
      </c>
      <c r="N175" s="141" t="str">
        <f t="shared" si="27"/>
        <v/>
      </c>
      <c r="X175" s="141" t="s">
        <v>1178</v>
      </c>
      <c r="Y175" s="141" t="s">
        <v>1179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4"/>
      <c r="H176" s="146" t="str">
        <f t="shared" si="25"/>
        <v/>
      </c>
      <c r="I176" s="183"/>
      <c r="J176" s="183"/>
      <c r="K176" s="183"/>
      <c r="M176" s="141" t="str">
        <f t="shared" si="26"/>
        <v/>
      </c>
      <c r="N176" s="141" t="str">
        <f t="shared" si="27"/>
        <v/>
      </c>
      <c r="X176" s="141" t="s">
        <v>1180</v>
      </c>
      <c r="Y176" s="141" t="s">
        <v>1181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4"/>
      <c r="H177" s="146" t="str">
        <f t="shared" si="25"/>
        <v/>
      </c>
      <c r="I177" s="183"/>
      <c r="J177" s="183"/>
      <c r="K177" s="183"/>
      <c r="M177" s="141" t="str">
        <f t="shared" si="26"/>
        <v/>
      </c>
      <c r="N177" s="141" t="str">
        <f t="shared" si="27"/>
        <v/>
      </c>
      <c r="X177" s="141" t="s">
        <v>1182</v>
      </c>
      <c r="Y177" s="141" t="s">
        <v>1183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4"/>
      <c r="H178" s="146" t="str">
        <f t="shared" si="25"/>
        <v/>
      </c>
      <c r="I178" s="183"/>
      <c r="J178" s="183"/>
      <c r="K178" s="183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4"/>
      <c r="H179" s="146" t="str">
        <f t="shared" si="25"/>
        <v/>
      </c>
      <c r="I179" s="183"/>
      <c r="J179" s="183"/>
      <c r="K179" s="183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4"/>
      <c r="H180" s="146" t="str">
        <f t="shared" si="25"/>
        <v/>
      </c>
      <c r="I180" s="183"/>
      <c r="J180" s="183"/>
      <c r="K180" s="183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4"/>
      <c r="H181" s="146" t="str">
        <f t="shared" si="25"/>
        <v/>
      </c>
      <c r="I181" s="183"/>
      <c r="J181" s="183"/>
      <c r="K181" s="183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4"/>
      <c r="H182" s="146" t="str">
        <f t="shared" si="25"/>
        <v/>
      </c>
      <c r="I182" s="183"/>
      <c r="J182" s="183"/>
      <c r="K182" s="183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4"/>
      <c r="H183" s="146" t="str">
        <f t="shared" si="25"/>
        <v/>
      </c>
      <c r="I183" s="183"/>
      <c r="J183" s="183"/>
      <c r="K183" s="183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4"/>
      <c r="H184" s="146" t="str">
        <f t="shared" si="25"/>
        <v/>
      </c>
      <c r="I184" s="183"/>
      <c r="J184" s="183"/>
      <c r="K184" s="183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4"/>
      <c r="H185" s="146" t="str">
        <f t="shared" si="25"/>
        <v/>
      </c>
      <c r="I185" s="183"/>
      <c r="J185" s="183"/>
      <c r="K185" s="183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4"/>
      <c r="H186" s="146" t="str">
        <f t="shared" si="25"/>
        <v/>
      </c>
      <c r="I186" s="183"/>
      <c r="J186" s="183"/>
      <c r="K186" s="183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4"/>
      <c r="H187" s="146" t="str">
        <f t="shared" si="25"/>
        <v/>
      </c>
      <c r="I187" s="183"/>
      <c r="J187" s="183"/>
      <c r="K187" s="183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4"/>
      <c r="H188" s="146" t="str">
        <f t="shared" si="25"/>
        <v/>
      </c>
      <c r="I188" s="183"/>
      <c r="J188" s="183"/>
      <c r="K188" s="183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4"/>
      <c r="H189" s="146" t="str">
        <f t="shared" si="25"/>
        <v/>
      </c>
      <c r="I189" s="183"/>
      <c r="J189" s="183"/>
      <c r="K189" s="183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4"/>
      <c r="H190" s="146" t="str">
        <f t="shared" si="25"/>
        <v/>
      </c>
      <c r="I190" s="183"/>
      <c r="J190" s="183"/>
      <c r="K190" s="183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4"/>
      <c r="H191" s="146" t="str">
        <f t="shared" si="25"/>
        <v/>
      </c>
      <c r="I191" s="183"/>
      <c r="J191" s="183"/>
      <c r="K191" s="183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4"/>
      <c r="H192" s="146" t="str">
        <f t="shared" si="25"/>
        <v/>
      </c>
      <c r="I192" s="183"/>
      <c r="J192" s="183"/>
      <c r="K192" s="183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4"/>
      <c r="H193" s="146" t="str">
        <f t="shared" si="25"/>
        <v/>
      </c>
      <c r="I193" s="183"/>
      <c r="J193" s="183"/>
      <c r="K193" s="183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4"/>
      <c r="H194" s="146" t="str">
        <f t="shared" si="25"/>
        <v/>
      </c>
      <c r="I194" s="183"/>
      <c r="J194" s="183"/>
      <c r="K194" s="183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4"/>
      <c r="H195" s="146" t="str">
        <f t="shared" si="25"/>
        <v/>
      </c>
      <c r="I195" s="183"/>
      <c r="J195" s="183"/>
      <c r="K195" s="183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4"/>
      <c r="H196" s="146" t="str">
        <f t="shared" ref="H196:H259" si="30">IFERROR(VLOOKUP(G196,$X$6:$Y$200,2,FALSE),"")</f>
        <v/>
      </c>
      <c r="I196" s="183"/>
      <c r="J196" s="183"/>
      <c r="K196" s="183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4"/>
      <c r="H197" s="146" t="str">
        <f t="shared" si="30"/>
        <v/>
      </c>
      <c r="I197" s="183"/>
      <c r="J197" s="183"/>
      <c r="K197" s="183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4"/>
      <c r="H198" s="146" t="str">
        <f t="shared" si="30"/>
        <v/>
      </c>
      <c r="I198" s="183"/>
      <c r="J198" s="183"/>
      <c r="K198" s="183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4"/>
      <c r="H199" s="146" t="str">
        <f t="shared" si="30"/>
        <v/>
      </c>
      <c r="I199" s="183"/>
      <c r="J199" s="183"/>
      <c r="K199" s="183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4"/>
      <c r="H200" s="146" t="str">
        <f t="shared" si="30"/>
        <v/>
      </c>
      <c r="I200" s="183"/>
      <c r="J200" s="183"/>
      <c r="K200" s="183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4"/>
      <c r="H201" s="146" t="str">
        <f t="shared" si="30"/>
        <v/>
      </c>
      <c r="I201" s="183"/>
      <c r="J201" s="183"/>
      <c r="K201" s="183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4"/>
      <c r="H202" s="146" t="str">
        <f t="shared" si="30"/>
        <v/>
      </c>
      <c r="I202" s="183"/>
      <c r="J202" s="183"/>
      <c r="K202" s="183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4"/>
      <c r="H203" s="146" t="str">
        <f t="shared" si="30"/>
        <v/>
      </c>
      <c r="I203" s="183"/>
      <c r="J203" s="183"/>
      <c r="K203" s="183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4"/>
      <c r="H204" s="146" t="str">
        <f t="shared" si="30"/>
        <v/>
      </c>
      <c r="I204" s="183"/>
      <c r="J204" s="183"/>
      <c r="K204" s="183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4"/>
      <c r="H205" s="146" t="str">
        <f t="shared" si="30"/>
        <v/>
      </c>
      <c r="I205" s="183"/>
      <c r="J205" s="183"/>
      <c r="K205" s="183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4"/>
      <c r="H206" s="146" t="str">
        <f t="shared" si="30"/>
        <v/>
      </c>
      <c r="I206" s="183"/>
      <c r="J206" s="183"/>
      <c r="K206" s="183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4"/>
      <c r="H207" s="146" t="str">
        <f t="shared" si="30"/>
        <v/>
      </c>
      <c r="I207" s="183"/>
      <c r="J207" s="183"/>
      <c r="K207" s="183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4"/>
      <c r="H208" s="146" t="str">
        <f t="shared" si="30"/>
        <v/>
      </c>
      <c r="I208" s="183"/>
      <c r="J208" s="183"/>
      <c r="K208" s="183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4"/>
      <c r="H209" s="146" t="str">
        <f t="shared" si="30"/>
        <v/>
      </c>
      <c r="I209" s="183"/>
      <c r="J209" s="183"/>
      <c r="K209" s="183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4"/>
      <c r="H210" s="146" t="str">
        <f t="shared" si="30"/>
        <v/>
      </c>
      <c r="I210" s="183"/>
      <c r="J210" s="183"/>
      <c r="K210" s="183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4"/>
      <c r="H211" s="146" t="str">
        <f t="shared" si="30"/>
        <v/>
      </c>
      <c r="I211" s="183"/>
      <c r="J211" s="183"/>
      <c r="K211" s="183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4"/>
      <c r="H212" s="146" t="str">
        <f t="shared" si="30"/>
        <v/>
      </c>
      <c r="I212" s="183"/>
      <c r="J212" s="183"/>
      <c r="K212" s="183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4"/>
      <c r="H213" s="146" t="str">
        <f t="shared" si="30"/>
        <v/>
      </c>
      <c r="I213" s="183"/>
      <c r="J213" s="183"/>
      <c r="K213" s="183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4"/>
      <c r="H214" s="146" t="str">
        <f t="shared" si="30"/>
        <v/>
      </c>
      <c r="I214" s="183"/>
      <c r="J214" s="183"/>
      <c r="K214" s="183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4"/>
      <c r="H215" s="146" t="str">
        <f t="shared" si="30"/>
        <v/>
      </c>
      <c r="I215" s="183"/>
      <c r="J215" s="183"/>
      <c r="K215" s="183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4"/>
      <c r="H216" s="146" t="str">
        <f t="shared" si="30"/>
        <v/>
      </c>
      <c r="I216" s="183"/>
      <c r="J216" s="183"/>
      <c r="K216" s="183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4"/>
      <c r="H217" s="146" t="str">
        <f t="shared" si="30"/>
        <v/>
      </c>
      <c r="I217" s="183"/>
      <c r="J217" s="183"/>
      <c r="K217" s="183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4"/>
      <c r="H218" s="146" t="str">
        <f t="shared" si="30"/>
        <v/>
      </c>
      <c r="I218" s="183"/>
      <c r="J218" s="183"/>
      <c r="K218" s="183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4"/>
      <c r="H219" s="146" t="str">
        <f t="shared" si="30"/>
        <v/>
      </c>
      <c r="I219" s="183"/>
      <c r="J219" s="183"/>
      <c r="K219" s="183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4"/>
      <c r="H220" s="146" t="str">
        <f t="shared" si="30"/>
        <v/>
      </c>
      <c r="I220" s="183"/>
      <c r="J220" s="183"/>
      <c r="K220" s="183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4"/>
      <c r="H221" s="146" t="str">
        <f t="shared" si="30"/>
        <v/>
      </c>
      <c r="I221" s="183"/>
      <c r="J221" s="183"/>
      <c r="K221" s="183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4"/>
      <c r="H222" s="146" t="str">
        <f t="shared" si="30"/>
        <v/>
      </c>
      <c r="I222" s="183"/>
      <c r="J222" s="183"/>
      <c r="K222" s="183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4"/>
      <c r="H223" s="146" t="str">
        <f t="shared" si="30"/>
        <v/>
      </c>
      <c r="I223" s="183"/>
      <c r="J223" s="183"/>
      <c r="K223" s="183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4"/>
      <c r="H224" s="146" t="str">
        <f t="shared" si="30"/>
        <v/>
      </c>
      <c r="I224" s="183"/>
      <c r="J224" s="183"/>
      <c r="K224" s="183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4"/>
      <c r="H225" s="146" t="str">
        <f t="shared" si="30"/>
        <v/>
      </c>
      <c r="I225" s="183"/>
      <c r="J225" s="183"/>
      <c r="K225" s="183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4"/>
      <c r="H226" s="146" t="str">
        <f t="shared" si="30"/>
        <v/>
      </c>
      <c r="I226" s="183"/>
      <c r="J226" s="183"/>
      <c r="K226" s="183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4"/>
      <c r="H227" s="146" t="str">
        <f t="shared" si="30"/>
        <v/>
      </c>
      <c r="I227" s="183"/>
      <c r="J227" s="183"/>
      <c r="K227" s="183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4"/>
      <c r="H228" s="146" t="str">
        <f t="shared" si="30"/>
        <v/>
      </c>
      <c r="I228" s="183"/>
      <c r="J228" s="183"/>
      <c r="K228" s="183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4"/>
      <c r="H229" s="146" t="str">
        <f t="shared" si="30"/>
        <v/>
      </c>
      <c r="I229" s="183"/>
      <c r="J229" s="183"/>
      <c r="K229" s="183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4"/>
      <c r="H230" s="146" t="str">
        <f t="shared" si="30"/>
        <v/>
      </c>
      <c r="I230" s="183"/>
      <c r="J230" s="183"/>
      <c r="K230" s="183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4"/>
      <c r="H231" s="146" t="str">
        <f t="shared" si="30"/>
        <v/>
      </c>
      <c r="I231" s="183"/>
      <c r="J231" s="183"/>
      <c r="K231" s="183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4"/>
      <c r="H232" s="146" t="str">
        <f t="shared" si="30"/>
        <v/>
      </c>
      <c r="I232" s="183"/>
      <c r="J232" s="183"/>
      <c r="K232" s="183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4"/>
      <c r="H233" s="146" t="str">
        <f t="shared" si="30"/>
        <v/>
      </c>
      <c r="I233" s="183"/>
      <c r="J233" s="183"/>
      <c r="K233" s="183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4"/>
      <c r="H234" s="146" t="str">
        <f t="shared" si="30"/>
        <v/>
      </c>
      <c r="I234" s="183"/>
      <c r="J234" s="183"/>
      <c r="K234" s="183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4"/>
      <c r="H235" s="146" t="str">
        <f t="shared" si="30"/>
        <v/>
      </c>
      <c r="I235" s="183"/>
      <c r="J235" s="183"/>
      <c r="K235" s="183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4"/>
      <c r="H236" s="146" t="str">
        <f t="shared" si="30"/>
        <v/>
      </c>
      <c r="I236" s="183"/>
      <c r="J236" s="183"/>
      <c r="K236" s="183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4"/>
      <c r="H237" s="146" t="str">
        <f t="shared" si="30"/>
        <v/>
      </c>
      <c r="I237" s="183"/>
      <c r="J237" s="183"/>
      <c r="K237" s="183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4"/>
      <c r="H238" s="146" t="str">
        <f t="shared" si="30"/>
        <v/>
      </c>
      <c r="I238" s="183"/>
      <c r="J238" s="183"/>
      <c r="K238" s="183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4"/>
      <c r="H239" s="146" t="str">
        <f t="shared" si="30"/>
        <v/>
      </c>
      <c r="I239" s="183"/>
      <c r="J239" s="183"/>
      <c r="K239" s="183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4"/>
      <c r="H240" s="146" t="str">
        <f t="shared" si="30"/>
        <v/>
      </c>
      <c r="I240" s="183"/>
      <c r="J240" s="183"/>
      <c r="K240" s="183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4"/>
      <c r="H241" s="146" t="str">
        <f t="shared" si="30"/>
        <v/>
      </c>
      <c r="I241" s="183"/>
      <c r="J241" s="183"/>
      <c r="K241" s="183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4"/>
      <c r="H242" s="146" t="str">
        <f t="shared" si="30"/>
        <v/>
      </c>
      <c r="I242" s="183"/>
      <c r="J242" s="183"/>
      <c r="K242" s="183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4"/>
      <c r="H243" s="146" t="str">
        <f t="shared" si="30"/>
        <v/>
      </c>
      <c r="I243" s="183"/>
      <c r="J243" s="183"/>
      <c r="K243" s="183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4"/>
      <c r="H244" s="146" t="str">
        <f t="shared" si="30"/>
        <v/>
      </c>
      <c r="I244" s="183"/>
      <c r="J244" s="183"/>
      <c r="K244" s="183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4"/>
      <c r="H245" s="146" t="str">
        <f t="shared" si="30"/>
        <v/>
      </c>
      <c r="I245" s="183"/>
      <c r="J245" s="183"/>
      <c r="K245" s="183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4"/>
      <c r="H246" s="146" t="str">
        <f t="shared" si="30"/>
        <v/>
      </c>
      <c r="I246" s="183"/>
      <c r="J246" s="183"/>
      <c r="K246" s="183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4"/>
      <c r="H247" s="146" t="str">
        <f t="shared" si="30"/>
        <v/>
      </c>
      <c r="I247" s="183"/>
      <c r="J247" s="183"/>
      <c r="K247" s="183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4"/>
      <c r="H248" s="146" t="str">
        <f t="shared" si="30"/>
        <v/>
      </c>
      <c r="I248" s="183"/>
      <c r="J248" s="183"/>
      <c r="K248" s="183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4"/>
      <c r="H249" s="146" t="str">
        <f t="shared" si="30"/>
        <v/>
      </c>
      <c r="I249" s="183"/>
      <c r="J249" s="183"/>
      <c r="K249" s="183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4"/>
      <c r="H250" s="146" t="str">
        <f t="shared" si="30"/>
        <v/>
      </c>
      <c r="I250" s="183"/>
      <c r="J250" s="183"/>
      <c r="K250" s="183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4"/>
      <c r="H251" s="146" t="str">
        <f t="shared" si="30"/>
        <v/>
      </c>
      <c r="I251" s="183"/>
      <c r="J251" s="183"/>
      <c r="K251" s="183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4"/>
      <c r="H252" s="146" t="str">
        <f t="shared" si="30"/>
        <v/>
      </c>
      <c r="I252" s="183"/>
      <c r="J252" s="183"/>
      <c r="K252" s="183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4"/>
      <c r="H253" s="146" t="str">
        <f t="shared" si="30"/>
        <v/>
      </c>
      <c r="I253" s="183"/>
      <c r="J253" s="183"/>
      <c r="K253" s="183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4"/>
      <c r="H254" s="146" t="str">
        <f t="shared" si="30"/>
        <v/>
      </c>
      <c r="I254" s="183"/>
      <c r="J254" s="183"/>
      <c r="K254" s="183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4"/>
      <c r="H255" s="146" t="str">
        <f t="shared" si="30"/>
        <v/>
      </c>
      <c r="I255" s="183"/>
      <c r="J255" s="183"/>
      <c r="K255" s="183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4"/>
      <c r="H256" s="146" t="str">
        <f t="shared" si="30"/>
        <v/>
      </c>
      <c r="I256" s="183"/>
      <c r="J256" s="183"/>
      <c r="K256" s="183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4"/>
      <c r="H257" s="146" t="str">
        <f t="shared" si="30"/>
        <v/>
      </c>
      <c r="I257" s="183"/>
      <c r="J257" s="183"/>
      <c r="K257" s="183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4"/>
      <c r="H258" s="146" t="str">
        <f t="shared" si="30"/>
        <v/>
      </c>
      <c r="I258" s="183"/>
      <c r="J258" s="183"/>
      <c r="K258" s="183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4"/>
      <c r="H259" s="146" t="str">
        <f t="shared" si="30"/>
        <v/>
      </c>
      <c r="I259" s="183"/>
      <c r="J259" s="183"/>
      <c r="K259" s="183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4"/>
      <c r="H260" s="146" t="str">
        <f t="shared" ref="H260:H323" si="35">IFERROR(VLOOKUP(G260,$X$6:$Y$200,2,FALSE),"")</f>
        <v/>
      </c>
      <c r="I260" s="183"/>
      <c r="J260" s="183"/>
      <c r="K260" s="183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4"/>
      <c r="H261" s="146" t="str">
        <f t="shared" si="35"/>
        <v/>
      </c>
      <c r="I261" s="183"/>
      <c r="J261" s="183"/>
      <c r="K261" s="183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4"/>
      <c r="H262" s="146" t="str">
        <f t="shared" si="35"/>
        <v/>
      </c>
      <c r="I262" s="183"/>
      <c r="J262" s="183"/>
      <c r="K262" s="183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4"/>
      <c r="H263" s="146" t="str">
        <f t="shared" si="35"/>
        <v/>
      </c>
      <c r="I263" s="183"/>
      <c r="J263" s="183"/>
      <c r="K263" s="183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4"/>
      <c r="H264" s="146" t="str">
        <f t="shared" si="35"/>
        <v/>
      </c>
      <c r="I264" s="183"/>
      <c r="J264" s="183"/>
      <c r="K264" s="183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4"/>
      <c r="H265" s="146" t="str">
        <f t="shared" si="35"/>
        <v/>
      </c>
      <c r="I265" s="183"/>
      <c r="J265" s="183"/>
      <c r="K265" s="183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4"/>
      <c r="H266" s="146" t="str">
        <f t="shared" si="35"/>
        <v/>
      </c>
      <c r="I266" s="183"/>
      <c r="J266" s="183"/>
      <c r="K266" s="183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4"/>
      <c r="H267" s="146" t="str">
        <f t="shared" si="35"/>
        <v/>
      </c>
      <c r="I267" s="183"/>
      <c r="J267" s="183"/>
      <c r="K267" s="183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4"/>
      <c r="H268" s="146" t="str">
        <f t="shared" si="35"/>
        <v/>
      </c>
      <c r="I268" s="183"/>
      <c r="J268" s="183"/>
      <c r="K268" s="183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4"/>
      <c r="H269" s="146" t="str">
        <f t="shared" si="35"/>
        <v/>
      </c>
      <c r="I269" s="183"/>
      <c r="J269" s="183"/>
      <c r="K269" s="183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4"/>
      <c r="H270" s="146" t="str">
        <f t="shared" si="35"/>
        <v/>
      </c>
      <c r="I270" s="183"/>
      <c r="J270" s="183"/>
      <c r="K270" s="183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4"/>
      <c r="H271" s="146" t="str">
        <f t="shared" si="35"/>
        <v/>
      </c>
      <c r="I271" s="183"/>
      <c r="J271" s="183"/>
      <c r="K271" s="183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4"/>
      <c r="H272" s="146" t="str">
        <f t="shared" si="35"/>
        <v/>
      </c>
      <c r="I272" s="183"/>
      <c r="J272" s="183"/>
      <c r="K272" s="183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4"/>
      <c r="H273" s="146" t="str">
        <f t="shared" si="35"/>
        <v/>
      </c>
      <c r="I273" s="183"/>
      <c r="J273" s="183"/>
      <c r="K273" s="183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4"/>
      <c r="H274" s="146" t="str">
        <f t="shared" si="35"/>
        <v/>
      </c>
      <c r="I274" s="183"/>
      <c r="J274" s="183"/>
      <c r="K274" s="183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4"/>
      <c r="H275" s="146" t="str">
        <f t="shared" si="35"/>
        <v/>
      </c>
      <c r="I275" s="183"/>
      <c r="J275" s="183"/>
      <c r="K275" s="183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4"/>
      <c r="H276" s="146" t="str">
        <f t="shared" si="35"/>
        <v/>
      </c>
      <c r="I276" s="183"/>
      <c r="J276" s="183"/>
      <c r="K276" s="183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4"/>
      <c r="H277" s="146" t="str">
        <f t="shared" si="35"/>
        <v/>
      </c>
      <c r="I277" s="183"/>
      <c r="J277" s="183"/>
      <c r="K277" s="183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4"/>
      <c r="H278" s="146" t="str">
        <f t="shared" si="35"/>
        <v/>
      </c>
      <c r="I278" s="183"/>
      <c r="J278" s="183"/>
      <c r="K278" s="183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4"/>
      <c r="H279" s="146" t="str">
        <f t="shared" si="35"/>
        <v/>
      </c>
      <c r="I279" s="183"/>
      <c r="J279" s="183"/>
      <c r="K279" s="183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4"/>
      <c r="H280" s="146" t="str">
        <f t="shared" si="35"/>
        <v/>
      </c>
      <c r="I280" s="183"/>
      <c r="J280" s="183"/>
      <c r="K280" s="183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4"/>
      <c r="H281" s="146" t="str">
        <f t="shared" si="35"/>
        <v/>
      </c>
      <c r="I281" s="183"/>
      <c r="J281" s="183"/>
      <c r="K281" s="183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4"/>
      <c r="H282" s="146" t="str">
        <f t="shared" si="35"/>
        <v/>
      </c>
      <c r="I282" s="183"/>
      <c r="J282" s="183"/>
      <c r="K282" s="183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4"/>
      <c r="H283" s="146" t="str">
        <f t="shared" si="35"/>
        <v/>
      </c>
      <c r="I283" s="183"/>
      <c r="J283" s="183"/>
      <c r="K283" s="183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4"/>
      <c r="H284" s="146" t="str">
        <f t="shared" si="35"/>
        <v/>
      </c>
      <c r="I284" s="183"/>
      <c r="J284" s="183"/>
      <c r="K284" s="183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4"/>
      <c r="H285" s="146" t="str">
        <f t="shared" si="35"/>
        <v/>
      </c>
      <c r="I285" s="183"/>
      <c r="J285" s="183"/>
      <c r="K285" s="183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4"/>
      <c r="H286" s="146" t="str">
        <f t="shared" si="35"/>
        <v/>
      </c>
      <c r="I286" s="183"/>
      <c r="J286" s="183"/>
      <c r="K286" s="183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4"/>
      <c r="H287" s="146" t="str">
        <f t="shared" si="35"/>
        <v/>
      </c>
      <c r="I287" s="183"/>
      <c r="J287" s="183"/>
      <c r="K287" s="183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4"/>
      <c r="H288" s="146" t="str">
        <f t="shared" si="35"/>
        <v/>
      </c>
      <c r="I288" s="183"/>
      <c r="J288" s="183"/>
      <c r="K288" s="183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4"/>
      <c r="H289" s="146" t="str">
        <f t="shared" si="35"/>
        <v/>
      </c>
      <c r="I289" s="183"/>
      <c r="J289" s="183"/>
      <c r="K289" s="183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4"/>
      <c r="H290" s="146" t="str">
        <f t="shared" si="35"/>
        <v/>
      </c>
      <c r="I290" s="183"/>
      <c r="J290" s="183"/>
      <c r="K290" s="183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4"/>
      <c r="H291" s="146" t="str">
        <f t="shared" si="35"/>
        <v/>
      </c>
      <c r="I291" s="183"/>
      <c r="J291" s="183"/>
      <c r="K291" s="183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4"/>
      <c r="H292" s="146" t="str">
        <f t="shared" si="35"/>
        <v/>
      </c>
      <c r="I292" s="183"/>
      <c r="J292" s="183"/>
      <c r="K292" s="183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4"/>
      <c r="H293" s="146" t="str">
        <f t="shared" si="35"/>
        <v/>
      </c>
      <c r="I293" s="183"/>
      <c r="J293" s="183"/>
      <c r="K293" s="183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4"/>
      <c r="H294" s="146" t="str">
        <f t="shared" si="35"/>
        <v/>
      </c>
      <c r="I294" s="183"/>
      <c r="J294" s="183"/>
      <c r="K294" s="183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4"/>
      <c r="H295" s="146" t="str">
        <f t="shared" si="35"/>
        <v/>
      </c>
      <c r="I295" s="183"/>
      <c r="J295" s="183"/>
      <c r="K295" s="183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4"/>
      <c r="H296" s="146" t="str">
        <f t="shared" si="35"/>
        <v/>
      </c>
      <c r="I296" s="183"/>
      <c r="J296" s="183"/>
      <c r="K296" s="183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4"/>
      <c r="H297" s="146" t="str">
        <f t="shared" si="35"/>
        <v/>
      </c>
      <c r="I297" s="183"/>
      <c r="J297" s="183"/>
      <c r="K297" s="183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4"/>
      <c r="H298" s="146" t="str">
        <f t="shared" si="35"/>
        <v/>
      </c>
      <c r="I298" s="183"/>
      <c r="J298" s="183"/>
      <c r="K298" s="183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4"/>
      <c r="H299" s="146" t="str">
        <f t="shared" si="35"/>
        <v/>
      </c>
      <c r="I299" s="183"/>
      <c r="J299" s="183"/>
      <c r="K299" s="183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4"/>
      <c r="H300" s="146" t="str">
        <f t="shared" si="35"/>
        <v/>
      </c>
      <c r="I300" s="183"/>
      <c r="J300" s="183"/>
      <c r="K300" s="183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4"/>
      <c r="H301" s="146" t="str">
        <f t="shared" si="35"/>
        <v/>
      </c>
      <c r="I301" s="183"/>
      <c r="J301" s="183"/>
      <c r="K301" s="183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4"/>
      <c r="H302" s="146" t="str">
        <f t="shared" si="35"/>
        <v/>
      </c>
      <c r="I302" s="183"/>
      <c r="J302" s="183"/>
      <c r="K302" s="183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4"/>
      <c r="H303" s="146" t="str">
        <f t="shared" si="35"/>
        <v/>
      </c>
      <c r="I303" s="183"/>
      <c r="J303" s="183"/>
      <c r="K303" s="183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4"/>
      <c r="H304" s="146" t="str">
        <f t="shared" si="35"/>
        <v/>
      </c>
      <c r="I304" s="183"/>
      <c r="J304" s="183"/>
      <c r="K304" s="183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4"/>
      <c r="H305" s="146" t="str">
        <f t="shared" si="35"/>
        <v/>
      </c>
      <c r="I305" s="183"/>
      <c r="J305" s="183"/>
      <c r="K305" s="183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4"/>
      <c r="H306" s="146" t="str">
        <f t="shared" si="35"/>
        <v/>
      </c>
      <c r="I306" s="183"/>
      <c r="J306" s="183"/>
      <c r="K306" s="183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4"/>
      <c r="H307" s="146" t="str">
        <f t="shared" si="35"/>
        <v/>
      </c>
      <c r="I307" s="183"/>
      <c r="J307" s="183"/>
      <c r="K307" s="183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4"/>
      <c r="H308" s="146" t="str">
        <f t="shared" si="35"/>
        <v/>
      </c>
      <c r="I308" s="183"/>
      <c r="J308" s="183"/>
      <c r="K308" s="183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4"/>
      <c r="H309" s="146" t="str">
        <f t="shared" si="35"/>
        <v/>
      </c>
      <c r="I309" s="183"/>
      <c r="J309" s="183"/>
      <c r="K309" s="183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4"/>
      <c r="H310" s="146" t="str">
        <f t="shared" si="35"/>
        <v/>
      </c>
      <c r="I310" s="183"/>
      <c r="J310" s="183"/>
      <c r="K310" s="183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4"/>
      <c r="H311" s="146" t="str">
        <f t="shared" si="35"/>
        <v/>
      </c>
      <c r="I311" s="183"/>
      <c r="J311" s="183"/>
      <c r="K311" s="183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4"/>
      <c r="H312" s="146" t="str">
        <f t="shared" si="35"/>
        <v/>
      </c>
      <c r="I312" s="183"/>
      <c r="J312" s="183"/>
      <c r="K312" s="183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4"/>
      <c r="H313" s="146" t="str">
        <f t="shared" si="35"/>
        <v/>
      </c>
      <c r="I313" s="183"/>
      <c r="J313" s="183"/>
      <c r="K313" s="183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4"/>
      <c r="H314" s="146" t="str">
        <f t="shared" si="35"/>
        <v/>
      </c>
      <c r="I314" s="183"/>
      <c r="J314" s="183"/>
      <c r="K314" s="183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4"/>
      <c r="H315" s="146" t="str">
        <f t="shared" si="35"/>
        <v/>
      </c>
      <c r="I315" s="183"/>
      <c r="J315" s="183"/>
      <c r="K315" s="183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4"/>
      <c r="H316" s="146" t="str">
        <f t="shared" si="35"/>
        <v/>
      </c>
      <c r="I316" s="183"/>
      <c r="J316" s="183"/>
      <c r="K316" s="183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4"/>
      <c r="H317" s="146" t="str">
        <f t="shared" si="35"/>
        <v/>
      </c>
      <c r="I317" s="183"/>
      <c r="J317" s="183"/>
      <c r="K317" s="183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4"/>
      <c r="H318" s="146" t="str">
        <f t="shared" si="35"/>
        <v/>
      </c>
      <c r="I318" s="183"/>
      <c r="J318" s="183"/>
      <c r="K318" s="183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4"/>
      <c r="H319" s="146" t="str">
        <f t="shared" si="35"/>
        <v/>
      </c>
      <c r="I319" s="183"/>
      <c r="J319" s="183"/>
      <c r="K319" s="183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4"/>
      <c r="H320" s="146" t="str">
        <f t="shared" si="35"/>
        <v/>
      </c>
      <c r="I320" s="183"/>
      <c r="J320" s="183"/>
      <c r="K320" s="183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4"/>
      <c r="H321" s="146" t="str">
        <f t="shared" si="35"/>
        <v/>
      </c>
      <c r="I321" s="183"/>
      <c r="J321" s="183"/>
      <c r="K321" s="183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4"/>
      <c r="H322" s="146" t="str">
        <f t="shared" si="35"/>
        <v/>
      </c>
      <c r="I322" s="183"/>
      <c r="J322" s="183"/>
      <c r="K322" s="183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4"/>
      <c r="H323" s="146" t="str">
        <f t="shared" si="35"/>
        <v/>
      </c>
      <c r="I323" s="183"/>
      <c r="J323" s="183"/>
      <c r="K323" s="183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4"/>
      <c r="H324" s="146" t="str">
        <f t="shared" ref="H324:H387" si="40">IFERROR(VLOOKUP(G324,$X$6:$Y$200,2,FALSE),"")</f>
        <v/>
      </c>
      <c r="I324" s="183"/>
      <c r="J324" s="183"/>
      <c r="K324" s="183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4"/>
      <c r="H325" s="146" t="str">
        <f t="shared" si="40"/>
        <v/>
      </c>
      <c r="I325" s="183"/>
      <c r="J325" s="183"/>
      <c r="K325" s="183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4"/>
      <c r="H326" s="146" t="str">
        <f t="shared" si="40"/>
        <v/>
      </c>
      <c r="I326" s="183"/>
      <c r="J326" s="183"/>
      <c r="K326" s="183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4"/>
      <c r="H327" s="146" t="str">
        <f t="shared" si="40"/>
        <v/>
      </c>
      <c r="I327" s="183"/>
      <c r="J327" s="183"/>
      <c r="K327" s="183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4"/>
      <c r="H328" s="146" t="str">
        <f t="shared" si="40"/>
        <v/>
      </c>
      <c r="I328" s="183"/>
      <c r="J328" s="183"/>
      <c r="K328" s="183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4"/>
      <c r="H329" s="146" t="str">
        <f t="shared" si="40"/>
        <v/>
      </c>
      <c r="I329" s="183"/>
      <c r="J329" s="183"/>
      <c r="K329" s="183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4"/>
      <c r="H330" s="146" t="str">
        <f t="shared" si="40"/>
        <v/>
      </c>
      <c r="I330" s="183"/>
      <c r="J330" s="183"/>
      <c r="K330" s="183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4"/>
      <c r="H331" s="146" t="str">
        <f t="shared" si="40"/>
        <v/>
      </c>
      <c r="I331" s="183"/>
      <c r="J331" s="183"/>
      <c r="K331" s="183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4"/>
      <c r="H332" s="146" t="str">
        <f t="shared" si="40"/>
        <v/>
      </c>
      <c r="I332" s="183"/>
      <c r="J332" s="183"/>
      <c r="K332" s="183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4"/>
      <c r="H333" s="146" t="str">
        <f t="shared" si="40"/>
        <v/>
      </c>
      <c r="I333" s="183"/>
      <c r="J333" s="183"/>
      <c r="K333" s="183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4"/>
      <c r="H334" s="146" t="str">
        <f t="shared" si="40"/>
        <v/>
      </c>
      <c r="I334" s="183"/>
      <c r="J334" s="183"/>
      <c r="K334" s="183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4"/>
      <c r="H335" s="146" t="str">
        <f t="shared" si="40"/>
        <v/>
      </c>
      <c r="I335" s="183"/>
      <c r="J335" s="183"/>
      <c r="K335" s="183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4"/>
      <c r="H336" s="146" t="str">
        <f t="shared" si="40"/>
        <v/>
      </c>
      <c r="I336" s="183"/>
      <c r="J336" s="183"/>
      <c r="K336" s="183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4"/>
      <c r="H337" s="146" t="str">
        <f t="shared" si="40"/>
        <v/>
      </c>
      <c r="I337" s="183"/>
      <c r="J337" s="183"/>
      <c r="K337" s="183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4"/>
      <c r="H338" s="146" t="str">
        <f t="shared" si="40"/>
        <v/>
      </c>
      <c r="I338" s="183"/>
      <c r="J338" s="183"/>
      <c r="K338" s="183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4"/>
      <c r="H339" s="146" t="str">
        <f t="shared" si="40"/>
        <v/>
      </c>
      <c r="I339" s="183"/>
      <c r="J339" s="183"/>
      <c r="K339" s="183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4"/>
      <c r="H340" s="146" t="str">
        <f t="shared" si="40"/>
        <v/>
      </c>
      <c r="I340" s="183"/>
      <c r="J340" s="183"/>
      <c r="K340" s="183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4"/>
      <c r="H341" s="146" t="str">
        <f t="shared" si="40"/>
        <v/>
      </c>
      <c r="I341" s="183"/>
      <c r="J341" s="183"/>
      <c r="K341" s="183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4"/>
      <c r="H342" s="146" t="str">
        <f t="shared" si="40"/>
        <v/>
      </c>
      <c r="I342" s="183"/>
      <c r="J342" s="183"/>
      <c r="K342" s="183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4"/>
      <c r="H343" s="146" t="str">
        <f t="shared" si="40"/>
        <v/>
      </c>
      <c r="I343" s="183"/>
      <c r="J343" s="183"/>
      <c r="K343" s="183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4"/>
      <c r="H344" s="146" t="str">
        <f t="shared" si="40"/>
        <v/>
      </c>
      <c r="I344" s="183"/>
      <c r="J344" s="183"/>
      <c r="K344" s="183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4"/>
      <c r="H345" s="146" t="str">
        <f t="shared" si="40"/>
        <v/>
      </c>
      <c r="I345" s="183"/>
      <c r="J345" s="183"/>
      <c r="K345" s="183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4"/>
      <c r="H346" s="146" t="str">
        <f t="shared" si="40"/>
        <v/>
      </c>
      <c r="I346" s="183"/>
      <c r="J346" s="183"/>
      <c r="K346" s="183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4"/>
      <c r="H347" s="146" t="str">
        <f t="shared" si="40"/>
        <v/>
      </c>
      <c r="I347" s="183"/>
      <c r="J347" s="183"/>
      <c r="K347" s="183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4"/>
      <c r="H348" s="146" t="str">
        <f t="shared" si="40"/>
        <v/>
      </c>
      <c r="I348" s="183"/>
      <c r="J348" s="183"/>
      <c r="K348" s="183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4"/>
      <c r="H349" s="146" t="str">
        <f t="shared" si="40"/>
        <v/>
      </c>
      <c r="I349" s="183"/>
      <c r="J349" s="183"/>
      <c r="K349" s="183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4"/>
      <c r="H350" s="146" t="str">
        <f t="shared" si="40"/>
        <v/>
      </c>
      <c r="I350" s="183"/>
      <c r="J350" s="183"/>
      <c r="K350" s="183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4"/>
      <c r="H351" s="146" t="str">
        <f t="shared" si="40"/>
        <v/>
      </c>
      <c r="I351" s="183"/>
      <c r="J351" s="183"/>
      <c r="K351" s="183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4"/>
      <c r="H352" s="146" t="str">
        <f t="shared" si="40"/>
        <v/>
      </c>
      <c r="I352" s="183"/>
      <c r="J352" s="183"/>
      <c r="K352" s="183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4"/>
      <c r="H353" s="146" t="str">
        <f t="shared" si="40"/>
        <v/>
      </c>
      <c r="I353" s="183"/>
      <c r="J353" s="183"/>
      <c r="K353" s="183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4"/>
      <c r="H354" s="146" t="str">
        <f t="shared" si="40"/>
        <v/>
      </c>
      <c r="I354" s="183"/>
      <c r="J354" s="183"/>
      <c r="K354" s="183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4"/>
      <c r="H355" s="146" t="str">
        <f t="shared" si="40"/>
        <v/>
      </c>
      <c r="I355" s="183"/>
      <c r="J355" s="183"/>
      <c r="K355" s="183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4"/>
      <c r="H356" s="146" t="str">
        <f t="shared" si="40"/>
        <v/>
      </c>
      <c r="I356" s="183"/>
      <c r="J356" s="183"/>
      <c r="K356" s="183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4"/>
      <c r="H357" s="146" t="str">
        <f t="shared" si="40"/>
        <v/>
      </c>
      <c r="I357" s="183"/>
      <c r="J357" s="183"/>
      <c r="K357" s="183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4"/>
      <c r="H358" s="146" t="str">
        <f t="shared" si="40"/>
        <v/>
      </c>
      <c r="I358" s="183"/>
      <c r="J358" s="183"/>
      <c r="K358" s="183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4"/>
      <c r="H359" s="146" t="str">
        <f t="shared" si="40"/>
        <v/>
      </c>
      <c r="I359" s="183"/>
      <c r="J359" s="183"/>
      <c r="K359" s="183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4"/>
      <c r="H360" s="146" t="str">
        <f t="shared" si="40"/>
        <v/>
      </c>
      <c r="I360" s="183"/>
      <c r="J360" s="183"/>
      <c r="K360" s="183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4"/>
      <c r="H361" s="146" t="str">
        <f t="shared" si="40"/>
        <v/>
      </c>
      <c r="I361" s="183"/>
      <c r="J361" s="183"/>
      <c r="K361" s="183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4"/>
      <c r="H362" s="146" t="str">
        <f t="shared" si="40"/>
        <v/>
      </c>
      <c r="I362" s="183"/>
      <c r="J362" s="183"/>
      <c r="K362" s="183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4"/>
      <c r="H363" s="146" t="str">
        <f t="shared" si="40"/>
        <v/>
      </c>
      <c r="I363" s="183"/>
      <c r="J363" s="183"/>
      <c r="K363" s="183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4"/>
      <c r="H364" s="146" t="str">
        <f t="shared" si="40"/>
        <v/>
      </c>
      <c r="I364" s="183"/>
      <c r="J364" s="183"/>
      <c r="K364" s="183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4"/>
      <c r="H365" s="146" t="str">
        <f t="shared" si="40"/>
        <v/>
      </c>
      <c r="I365" s="183"/>
      <c r="J365" s="183"/>
      <c r="K365" s="183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4"/>
      <c r="H366" s="146" t="str">
        <f t="shared" si="40"/>
        <v/>
      </c>
      <c r="I366" s="183"/>
      <c r="J366" s="183"/>
      <c r="K366" s="183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4"/>
      <c r="H367" s="146" t="str">
        <f t="shared" si="40"/>
        <v/>
      </c>
      <c r="I367" s="183"/>
      <c r="J367" s="183"/>
      <c r="K367" s="183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4"/>
      <c r="H368" s="146" t="str">
        <f t="shared" si="40"/>
        <v/>
      </c>
      <c r="I368" s="183"/>
      <c r="J368" s="183"/>
      <c r="K368" s="183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4"/>
      <c r="H369" s="146" t="str">
        <f t="shared" si="40"/>
        <v/>
      </c>
      <c r="I369" s="183"/>
      <c r="J369" s="183"/>
      <c r="K369" s="183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4"/>
      <c r="H370" s="146" t="str">
        <f t="shared" si="40"/>
        <v/>
      </c>
      <c r="I370" s="183"/>
      <c r="J370" s="183"/>
      <c r="K370" s="183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4"/>
      <c r="H371" s="146" t="str">
        <f t="shared" si="40"/>
        <v/>
      </c>
      <c r="I371" s="183"/>
      <c r="J371" s="183"/>
      <c r="K371" s="183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4"/>
      <c r="H372" s="146" t="str">
        <f t="shared" si="40"/>
        <v/>
      </c>
      <c r="I372" s="183"/>
      <c r="J372" s="183"/>
      <c r="K372" s="183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4"/>
      <c r="H373" s="146" t="str">
        <f t="shared" si="40"/>
        <v/>
      </c>
      <c r="I373" s="183"/>
      <c r="J373" s="183"/>
      <c r="K373" s="183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4"/>
      <c r="H374" s="146" t="str">
        <f t="shared" si="40"/>
        <v/>
      </c>
      <c r="I374" s="183"/>
      <c r="J374" s="183"/>
      <c r="K374" s="183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4"/>
      <c r="H375" s="146" t="str">
        <f t="shared" si="40"/>
        <v/>
      </c>
      <c r="I375" s="183"/>
      <c r="J375" s="183"/>
      <c r="K375" s="183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4"/>
      <c r="H376" s="146" t="str">
        <f t="shared" si="40"/>
        <v/>
      </c>
      <c r="I376" s="183"/>
      <c r="J376" s="183"/>
      <c r="K376" s="183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4"/>
      <c r="H377" s="146" t="str">
        <f t="shared" si="40"/>
        <v/>
      </c>
      <c r="I377" s="183"/>
      <c r="J377" s="183"/>
      <c r="K377" s="183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4"/>
      <c r="H378" s="146" t="str">
        <f t="shared" si="40"/>
        <v/>
      </c>
      <c r="I378" s="183"/>
      <c r="J378" s="183"/>
      <c r="K378" s="183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4"/>
      <c r="H379" s="146" t="str">
        <f t="shared" si="40"/>
        <v/>
      </c>
      <c r="I379" s="183"/>
      <c r="J379" s="183"/>
      <c r="K379" s="183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4"/>
      <c r="H380" s="146" t="str">
        <f t="shared" si="40"/>
        <v/>
      </c>
      <c r="I380" s="183"/>
      <c r="J380" s="183"/>
      <c r="K380" s="183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4"/>
      <c r="H381" s="146" t="str">
        <f t="shared" si="40"/>
        <v/>
      </c>
      <c r="I381" s="183"/>
      <c r="J381" s="183"/>
      <c r="K381" s="183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4"/>
      <c r="H382" s="146" t="str">
        <f t="shared" si="40"/>
        <v/>
      </c>
      <c r="I382" s="183"/>
      <c r="J382" s="183"/>
      <c r="K382" s="183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4"/>
      <c r="H383" s="146" t="str">
        <f t="shared" si="40"/>
        <v/>
      </c>
      <c r="I383" s="183"/>
      <c r="J383" s="183"/>
      <c r="K383" s="183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4"/>
      <c r="H384" s="146" t="str">
        <f t="shared" si="40"/>
        <v/>
      </c>
      <c r="I384" s="183"/>
      <c r="J384" s="183"/>
      <c r="K384" s="183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4"/>
      <c r="H385" s="146" t="str">
        <f t="shared" si="40"/>
        <v/>
      </c>
      <c r="I385" s="183"/>
      <c r="J385" s="183"/>
      <c r="K385" s="183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4"/>
      <c r="H386" s="146" t="str">
        <f t="shared" si="40"/>
        <v/>
      </c>
      <c r="I386" s="183"/>
      <c r="J386" s="183"/>
      <c r="K386" s="183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4"/>
      <c r="H387" s="146" t="str">
        <f t="shared" si="40"/>
        <v/>
      </c>
      <c r="I387" s="183"/>
      <c r="J387" s="183"/>
      <c r="K387" s="183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4"/>
      <c r="H388" s="146" t="str">
        <f t="shared" ref="H388:H451" si="45">IFERROR(VLOOKUP(G388,$X$6:$Y$200,2,FALSE),"")</f>
        <v/>
      </c>
      <c r="I388" s="183"/>
      <c r="J388" s="183"/>
      <c r="K388" s="183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4"/>
      <c r="H389" s="146" t="str">
        <f t="shared" si="45"/>
        <v/>
      </c>
      <c r="I389" s="183"/>
      <c r="J389" s="183"/>
      <c r="K389" s="183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4"/>
      <c r="H390" s="146" t="str">
        <f t="shared" si="45"/>
        <v/>
      </c>
      <c r="I390" s="183"/>
      <c r="J390" s="183"/>
      <c r="K390" s="183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4"/>
      <c r="H391" s="146" t="str">
        <f t="shared" si="45"/>
        <v/>
      </c>
      <c r="I391" s="183"/>
      <c r="J391" s="183"/>
      <c r="K391" s="183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4"/>
      <c r="H392" s="146" t="str">
        <f t="shared" si="45"/>
        <v/>
      </c>
      <c r="I392" s="183"/>
      <c r="J392" s="183"/>
      <c r="K392" s="183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4"/>
      <c r="H393" s="146" t="str">
        <f t="shared" si="45"/>
        <v/>
      </c>
      <c r="I393" s="183"/>
      <c r="J393" s="183"/>
      <c r="K393" s="183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4"/>
      <c r="H394" s="146" t="str">
        <f t="shared" si="45"/>
        <v/>
      </c>
      <c r="I394" s="183"/>
      <c r="J394" s="183"/>
      <c r="K394" s="183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4"/>
      <c r="H395" s="146" t="str">
        <f t="shared" si="45"/>
        <v/>
      </c>
      <c r="I395" s="183"/>
      <c r="J395" s="183"/>
      <c r="K395" s="183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4"/>
      <c r="H396" s="146" t="str">
        <f t="shared" si="45"/>
        <v/>
      </c>
      <c r="I396" s="183"/>
      <c r="J396" s="183"/>
      <c r="K396" s="183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4"/>
      <c r="H397" s="146" t="str">
        <f t="shared" si="45"/>
        <v/>
      </c>
      <c r="I397" s="183"/>
      <c r="J397" s="183"/>
      <c r="K397" s="183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4"/>
      <c r="H398" s="146" t="str">
        <f t="shared" si="45"/>
        <v/>
      </c>
      <c r="I398" s="183"/>
      <c r="J398" s="183"/>
      <c r="K398" s="183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4"/>
      <c r="H399" s="146" t="str">
        <f t="shared" si="45"/>
        <v/>
      </c>
      <c r="I399" s="183"/>
      <c r="J399" s="183"/>
      <c r="K399" s="183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4"/>
      <c r="H400" s="146" t="str">
        <f t="shared" si="45"/>
        <v/>
      </c>
      <c r="I400" s="183"/>
      <c r="J400" s="183"/>
      <c r="K400" s="183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4"/>
      <c r="H401" s="146" t="str">
        <f t="shared" si="45"/>
        <v/>
      </c>
      <c r="I401" s="183"/>
      <c r="J401" s="183"/>
      <c r="K401" s="183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4"/>
      <c r="H402" s="146" t="str">
        <f t="shared" si="45"/>
        <v/>
      </c>
      <c r="I402" s="183"/>
      <c r="J402" s="183"/>
      <c r="K402" s="183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4"/>
      <c r="H403" s="146" t="str">
        <f t="shared" si="45"/>
        <v/>
      </c>
      <c r="I403" s="183"/>
      <c r="J403" s="183"/>
      <c r="K403" s="183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4"/>
      <c r="H404" s="146" t="str">
        <f t="shared" si="45"/>
        <v/>
      </c>
      <c r="I404" s="183"/>
      <c r="J404" s="183"/>
      <c r="K404" s="183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4"/>
      <c r="H405" s="146" t="str">
        <f t="shared" si="45"/>
        <v/>
      </c>
      <c r="I405" s="183"/>
      <c r="J405" s="183"/>
      <c r="K405" s="183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4"/>
      <c r="H406" s="146" t="str">
        <f t="shared" si="45"/>
        <v/>
      </c>
      <c r="I406" s="183"/>
      <c r="J406" s="183"/>
      <c r="K406" s="183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4"/>
      <c r="H407" s="146" t="str">
        <f t="shared" si="45"/>
        <v/>
      </c>
      <c r="I407" s="183"/>
      <c r="J407" s="183"/>
      <c r="K407" s="183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4"/>
      <c r="H408" s="146" t="str">
        <f t="shared" si="45"/>
        <v/>
      </c>
      <c r="I408" s="183"/>
      <c r="J408" s="183"/>
      <c r="K408" s="183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4"/>
      <c r="H409" s="146" t="str">
        <f t="shared" si="45"/>
        <v/>
      </c>
      <c r="I409" s="183"/>
      <c r="J409" s="183"/>
      <c r="K409" s="183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4"/>
      <c r="H410" s="146" t="str">
        <f t="shared" si="45"/>
        <v/>
      </c>
      <c r="I410" s="183"/>
      <c r="J410" s="183"/>
      <c r="K410" s="183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4"/>
      <c r="H411" s="146" t="str">
        <f t="shared" si="45"/>
        <v/>
      </c>
      <c r="I411" s="183"/>
      <c r="J411" s="183"/>
      <c r="K411" s="183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4"/>
      <c r="H412" s="146" t="str">
        <f t="shared" si="45"/>
        <v/>
      </c>
      <c r="I412" s="183"/>
      <c r="J412" s="183"/>
      <c r="K412" s="183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4"/>
      <c r="H413" s="146" t="str">
        <f t="shared" si="45"/>
        <v/>
      </c>
      <c r="I413" s="183"/>
      <c r="J413" s="183"/>
      <c r="K413" s="183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4"/>
      <c r="H414" s="146" t="str">
        <f t="shared" si="45"/>
        <v/>
      </c>
      <c r="I414" s="183"/>
      <c r="J414" s="183"/>
      <c r="K414" s="183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4"/>
      <c r="H415" s="146" t="str">
        <f t="shared" si="45"/>
        <v/>
      </c>
      <c r="I415" s="183"/>
      <c r="J415" s="183"/>
      <c r="K415" s="183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4"/>
      <c r="H416" s="146" t="str">
        <f t="shared" si="45"/>
        <v/>
      </c>
      <c r="I416" s="183"/>
      <c r="J416" s="183"/>
      <c r="K416" s="183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4"/>
      <c r="H417" s="146" t="str">
        <f t="shared" si="45"/>
        <v/>
      </c>
      <c r="I417" s="183"/>
      <c r="J417" s="183"/>
      <c r="K417" s="183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4"/>
      <c r="H418" s="146" t="str">
        <f t="shared" si="45"/>
        <v/>
      </c>
      <c r="I418" s="183"/>
      <c r="J418" s="183"/>
      <c r="K418" s="183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4"/>
      <c r="H419" s="146" t="str">
        <f t="shared" si="45"/>
        <v/>
      </c>
      <c r="I419" s="183"/>
      <c r="J419" s="183"/>
      <c r="K419" s="183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4"/>
      <c r="H420" s="146" t="str">
        <f t="shared" si="45"/>
        <v/>
      </c>
      <c r="I420" s="183"/>
      <c r="J420" s="183"/>
      <c r="K420" s="183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4"/>
      <c r="H421" s="146" t="str">
        <f t="shared" si="45"/>
        <v/>
      </c>
      <c r="I421" s="183"/>
      <c r="J421" s="183"/>
      <c r="K421" s="183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4"/>
      <c r="H422" s="146" t="str">
        <f t="shared" si="45"/>
        <v/>
      </c>
      <c r="I422" s="183"/>
      <c r="J422" s="183"/>
      <c r="K422" s="183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4"/>
      <c r="H423" s="146" t="str">
        <f t="shared" si="45"/>
        <v/>
      </c>
      <c r="I423" s="183"/>
      <c r="J423" s="183"/>
      <c r="K423" s="183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4"/>
      <c r="H424" s="146" t="str">
        <f t="shared" si="45"/>
        <v/>
      </c>
      <c r="I424" s="183"/>
      <c r="J424" s="183"/>
      <c r="K424" s="183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4"/>
      <c r="H425" s="146" t="str">
        <f t="shared" si="45"/>
        <v/>
      </c>
      <c r="I425" s="183"/>
      <c r="J425" s="183"/>
      <c r="K425" s="183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4"/>
      <c r="H426" s="146" t="str">
        <f t="shared" si="45"/>
        <v/>
      </c>
      <c r="I426" s="183"/>
      <c r="J426" s="183"/>
      <c r="K426" s="183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4"/>
      <c r="H427" s="146" t="str">
        <f t="shared" si="45"/>
        <v/>
      </c>
      <c r="I427" s="183"/>
      <c r="J427" s="183"/>
      <c r="K427" s="183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4"/>
      <c r="H428" s="146" t="str">
        <f t="shared" si="45"/>
        <v/>
      </c>
      <c r="I428" s="183"/>
      <c r="J428" s="183"/>
      <c r="K428" s="183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4"/>
      <c r="H429" s="146" t="str">
        <f t="shared" si="45"/>
        <v/>
      </c>
      <c r="I429" s="183"/>
      <c r="J429" s="183"/>
      <c r="K429" s="183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4"/>
      <c r="H430" s="146" t="str">
        <f t="shared" si="45"/>
        <v/>
      </c>
      <c r="I430" s="183"/>
      <c r="J430" s="183"/>
      <c r="K430" s="183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4"/>
      <c r="H431" s="146" t="str">
        <f t="shared" si="45"/>
        <v/>
      </c>
      <c r="I431" s="183"/>
      <c r="J431" s="183"/>
      <c r="K431" s="183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4"/>
      <c r="H432" s="146" t="str">
        <f t="shared" si="45"/>
        <v/>
      </c>
      <c r="I432" s="183"/>
      <c r="J432" s="183"/>
      <c r="K432" s="183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4"/>
      <c r="H433" s="146" t="str">
        <f t="shared" si="45"/>
        <v/>
      </c>
      <c r="I433" s="183"/>
      <c r="J433" s="183"/>
      <c r="K433" s="183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4"/>
      <c r="H434" s="146" t="str">
        <f t="shared" si="45"/>
        <v/>
      </c>
      <c r="I434" s="183"/>
      <c r="J434" s="183"/>
      <c r="K434" s="183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4"/>
      <c r="H435" s="146" t="str">
        <f t="shared" si="45"/>
        <v/>
      </c>
      <c r="I435" s="183"/>
      <c r="J435" s="183"/>
      <c r="K435" s="183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4"/>
      <c r="H436" s="146" t="str">
        <f t="shared" si="45"/>
        <v/>
      </c>
      <c r="I436" s="183"/>
      <c r="J436" s="183"/>
      <c r="K436" s="183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4"/>
      <c r="H437" s="146" t="str">
        <f t="shared" si="45"/>
        <v/>
      </c>
      <c r="I437" s="183"/>
      <c r="J437" s="183"/>
      <c r="K437" s="183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4"/>
      <c r="H438" s="146" t="str">
        <f t="shared" si="45"/>
        <v/>
      </c>
      <c r="I438" s="183"/>
      <c r="J438" s="183"/>
      <c r="K438" s="183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4"/>
      <c r="H439" s="146" t="str">
        <f t="shared" si="45"/>
        <v/>
      </c>
      <c r="I439" s="183"/>
      <c r="J439" s="183"/>
      <c r="K439" s="183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4"/>
      <c r="H440" s="146" t="str">
        <f t="shared" si="45"/>
        <v/>
      </c>
      <c r="I440" s="183"/>
      <c r="J440" s="183"/>
      <c r="K440" s="183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4"/>
      <c r="H441" s="146" t="str">
        <f t="shared" si="45"/>
        <v/>
      </c>
      <c r="I441" s="183"/>
      <c r="J441" s="183"/>
      <c r="K441" s="183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4"/>
      <c r="H442" s="146" t="str">
        <f t="shared" si="45"/>
        <v/>
      </c>
      <c r="I442" s="183"/>
      <c r="J442" s="183"/>
      <c r="K442" s="183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4"/>
      <c r="H443" s="146" t="str">
        <f t="shared" si="45"/>
        <v/>
      </c>
      <c r="I443" s="183"/>
      <c r="J443" s="183"/>
      <c r="K443" s="183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4"/>
      <c r="H444" s="146" t="str">
        <f t="shared" si="45"/>
        <v/>
      </c>
      <c r="I444" s="183"/>
      <c r="J444" s="183"/>
      <c r="K444" s="183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4"/>
      <c r="H445" s="146" t="str">
        <f t="shared" si="45"/>
        <v/>
      </c>
      <c r="I445" s="183"/>
      <c r="J445" s="183"/>
      <c r="K445" s="183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4"/>
      <c r="H446" s="146" t="str">
        <f t="shared" si="45"/>
        <v/>
      </c>
      <c r="I446" s="183"/>
      <c r="J446" s="183"/>
      <c r="K446" s="183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4"/>
      <c r="H447" s="146" t="str">
        <f t="shared" si="45"/>
        <v/>
      </c>
      <c r="I447" s="183"/>
      <c r="J447" s="183"/>
      <c r="K447" s="183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4"/>
      <c r="H448" s="146" t="str">
        <f t="shared" si="45"/>
        <v/>
      </c>
      <c r="I448" s="183"/>
      <c r="J448" s="183"/>
      <c r="K448" s="183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4"/>
      <c r="H449" s="146" t="str">
        <f t="shared" si="45"/>
        <v/>
      </c>
      <c r="I449" s="183"/>
      <c r="J449" s="183"/>
      <c r="K449" s="183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4"/>
      <c r="H450" s="146" t="str">
        <f t="shared" si="45"/>
        <v/>
      </c>
      <c r="I450" s="183"/>
      <c r="J450" s="183"/>
      <c r="K450" s="183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4"/>
      <c r="H451" s="146" t="str">
        <f t="shared" si="45"/>
        <v/>
      </c>
      <c r="I451" s="183"/>
      <c r="J451" s="183"/>
      <c r="K451" s="183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4"/>
      <c r="H452" s="146" t="str">
        <f t="shared" ref="H452:H501" si="50">IFERROR(VLOOKUP(G452,$X$6:$Y$200,2,FALSE),"")</f>
        <v/>
      </c>
      <c r="I452" s="183"/>
      <c r="J452" s="183"/>
      <c r="K452" s="183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4"/>
      <c r="H453" s="146" t="str">
        <f t="shared" si="50"/>
        <v/>
      </c>
      <c r="I453" s="183"/>
      <c r="J453" s="183"/>
      <c r="K453" s="183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4"/>
      <c r="H454" s="146" t="str">
        <f t="shared" si="50"/>
        <v/>
      </c>
      <c r="I454" s="183"/>
      <c r="J454" s="183"/>
      <c r="K454" s="183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4"/>
      <c r="H455" s="146" t="str">
        <f t="shared" si="50"/>
        <v/>
      </c>
      <c r="I455" s="183"/>
      <c r="J455" s="183"/>
      <c r="K455" s="183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4"/>
      <c r="H456" s="146" t="str">
        <f t="shared" si="50"/>
        <v/>
      </c>
      <c r="I456" s="183"/>
      <c r="J456" s="183"/>
      <c r="K456" s="183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4"/>
      <c r="H457" s="146" t="str">
        <f t="shared" si="50"/>
        <v/>
      </c>
      <c r="I457" s="183"/>
      <c r="J457" s="183"/>
      <c r="K457" s="183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4"/>
      <c r="H458" s="146" t="str">
        <f t="shared" si="50"/>
        <v/>
      </c>
      <c r="I458" s="183"/>
      <c r="J458" s="183"/>
      <c r="K458" s="183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4"/>
      <c r="H459" s="146" t="str">
        <f t="shared" si="50"/>
        <v/>
      </c>
      <c r="I459" s="183"/>
      <c r="J459" s="183"/>
      <c r="K459" s="183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4"/>
      <c r="H460" s="146" t="str">
        <f t="shared" si="50"/>
        <v/>
      </c>
      <c r="I460" s="183"/>
      <c r="J460" s="183"/>
      <c r="K460" s="183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4"/>
      <c r="H461" s="146" t="str">
        <f t="shared" si="50"/>
        <v/>
      </c>
      <c r="I461" s="183"/>
      <c r="J461" s="183"/>
      <c r="K461" s="183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4"/>
      <c r="H462" s="146" t="str">
        <f t="shared" si="50"/>
        <v/>
      </c>
      <c r="I462" s="183"/>
      <c r="J462" s="183"/>
      <c r="K462" s="183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4"/>
      <c r="H463" s="146" t="str">
        <f t="shared" si="50"/>
        <v/>
      </c>
      <c r="I463" s="183"/>
      <c r="J463" s="183"/>
      <c r="K463" s="183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4"/>
      <c r="H464" s="146" t="str">
        <f t="shared" si="50"/>
        <v/>
      </c>
      <c r="I464" s="183"/>
      <c r="J464" s="183"/>
      <c r="K464" s="183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4"/>
      <c r="H465" s="146" t="str">
        <f t="shared" si="50"/>
        <v/>
      </c>
      <c r="I465" s="183"/>
      <c r="J465" s="183"/>
      <c r="K465" s="183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4"/>
      <c r="H466" s="146" t="str">
        <f t="shared" si="50"/>
        <v/>
      </c>
      <c r="I466" s="183"/>
      <c r="J466" s="183"/>
      <c r="K466" s="183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4"/>
      <c r="H467" s="146" t="str">
        <f t="shared" si="50"/>
        <v/>
      </c>
      <c r="I467" s="183"/>
      <c r="J467" s="183"/>
      <c r="K467" s="183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4"/>
      <c r="H468" s="146" t="str">
        <f t="shared" si="50"/>
        <v/>
      </c>
      <c r="I468" s="183"/>
      <c r="J468" s="183"/>
      <c r="K468" s="183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4"/>
      <c r="H469" s="146" t="str">
        <f t="shared" si="50"/>
        <v/>
      </c>
      <c r="I469" s="183"/>
      <c r="J469" s="183"/>
      <c r="K469" s="183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4"/>
      <c r="H470" s="146" t="str">
        <f t="shared" si="50"/>
        <v/>
      </c>
      <c r="I470" s="183"/>
      <c r="J470" s="183"/>
      <c r="K470" s="183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4"/>
      <c r="H471" s="146" t="str">
        <f t="shared" si="50"/>
        <v/>
      </c>
      <c r="I471" s="183"/>
      <c r="J471" s="183"/>
      <c r="K471" s="183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4"/>
      <c r="H472" s="146" t="str">
        <f t="shared" si="50"/>
        <v/>
      </c>
      <c r="I472" s="183"/>
      <c r="J472" s="183"/>
      <c r="K472" s="183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4"/>
      <c r="H473" s="146" t="str">
        <f t="shared" si="50"/>
        <v/>
      </c>
      <c r="I473" s="183"/>
      <c r="J473" s="183"/>
      <c r="K473" s="183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4"/>
      <c r="H474" s="146" t="str">
        <f t="shared" si="50"/>
        <v/>
      </c>
      <c r="I474" s="183"/>
      <c r="J474" s="183"/>
      <c r="K474" s="183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4"/>
      <c r="H475" s="146" t="str">
        <f t="shared" si="50"/>
        <v/>
      </c>
      <c r="I475" s="183"/>
      <c r="J475" s="183"/>
      <c r="K475" s="183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4"/>
      <c r="H476" s="146" t="str">
        <f t="shared" si="50"/>
        <v/>
      </c>
      <c r="I476" s="183"/>
      <c r="J476" s="183"/>
      <c r="K476" s="183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4"/>
      <c r="H477" s="146" t="str">
        <f t="shared" si="50"/>
        <v/>
      </c>
      <c r="I477" s="183"/>
      <c r="J477" s="183"/>
      <c r="K477" s="183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4"/>
      <c r="H478" s="146" t="str">
        <f t="shared" si="50"/>
        <v/>
      </c>
      <c r="I478" s="183"/>
      <c r="J478" s="183"/>
      <c r="K478" s="183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4"/>
      <c r="H479" s="146" t="str">
        <f t="shared" si="50"/>
        <v/>
      </c>
      <c r="I479" s="183"/>
      <c r="J479" s="183"/>
      <c r="K479" s="183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4"/>
      <c r="H480" s="146" t="str">
        <f t="shared" si="50"/>
        <v/>
      </c>
      <c r="I480" s="183"/>
      <c r="J480" s="183"/>
      <c r="K480" s="183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4"/>
      <c r="H481" s="146" t="str">
        <f t="shared" si="50"/>
        <v/>
      </c>
      <c r="I481" s="183"/>
      <c r="J481" s="183"/>
      <c r="K481" s="183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4"/>
      <c r="H482" s="146" t="str">
        <f t="shared" si="50"/>
        <v/>
      </c>
      <c r="I482" s="183"/>
      <c r="J482" s="183"/>
      <c r="K482" s="183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4"/>
      <c r="H483" s="146" t="str">
        <f t="shared" si="50"/>
        <v/>
      </c>
      <c r="I483" s="183"/>
      <c r="J483" s="183"/>
      <c r="K483" s="183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4"/>
      <c r="H484" s="146" t="str">
        <f t="shared" si="50"/>
        <v/>
      </c>
      <c r="I484" s="183"/>
      <c r="J484" s="183"/>
      <c r="K484" s="183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4"/>
      <c r="H485" s="146" t="str">
        <f t="shared" si="50"/>
        <v/>
      </c>
      <c r="I485" s="183"/>
      <c r="J485" s="183"/>
      <c r="K485" s="183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4"/>
      <c r="H486" s="146" t="str">
        <f t="shared" si="50"/>
        <v/>
      </c>
      <c r="I486" s="183"/>
      <c r="J486" s="183"/>
      <c r="K486" s="183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4"/>
      <c r="H487" s="146" t="str">
        <f t="shared" si="50"/>
        <v/>
      </c>
      <c r="I487" s="183"/>
      <c r="J487" s="183"/>
      <c r="K487" s="183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4"/>
      <c r="H488" s="146" t="str">
        <f t="shared" si="50"/>
        <v/>
      </c>
      <c r="I488" s="183"/>
      <c r="J488" s="183"/>
      <c r="K488" s="183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4"/>
      <c r="H489" s="146" t="str">
        <f t="shared" si="50"/>
        <v/>
      </c>
      <c r="I489" s="183"/>
      <c r="J489" s="183"/>
      <c r="K489" s="183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4"/>
      <c r="H490" s="146" t="str">
        <f t="shared" si="50"/>
        <v/>
      </c>
      <c r="I490" s="183"/>
      <c r="J490" s="183"/>
      <c r="K490" s="183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4"/>
      <c r="H491" s="146" t="str">
        <f t="shared" si="50"/>
        <v/>
      </c>
      <c r="I491" s="183"/>
      <c r="J491" s="183"/>
      <c r="K491" s="183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4"/>
      <c r="H492" s="146" t="str">
        <f t="shared" si="50"/>
        <v/>
      </c>
      <c r="I492" s="183"/>
      <c r="J492" s="183"/>
      <c r="K492" s="183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4"/>
      <c r="H493" s="146" t="str">
        <f t="shared" si="50"/>
        <v/>
      </c>
      <c r="I493" s="183"/>
      <c r="J493" s="183"/>
      <c r="K493" s="183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4"/>
      <c r="H494" s="146" t="str">
        <f t="shared" si="50"/>
        <v/>
      </c>
      <c r="I494" s="183"/>
      <c r="J494" s="183"/>
      <c r="K494" s="183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4"/>
      <c r="H495" s="146" t="str">
        <f t="shared" si="50"/>
        <v/>
      </c>
      <c r="I495" s="183"/>
      <c r="J495" s="183"/>
      <c r="K495" s="183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4"/>
      <c r="H496" s="146" t="str">
        <f t="shared" si="50"/>
        <v/>
      </c>
      <c r="I496" s="183"/>
      <c r="J496" s="183"/>
      <c r="K496" s="183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4"/>
      <c r="H497" s="146" t="str">
        <f t="shared" si="50"/>
        <v/>
      </c>
      <c r="I497" s="183"/>
      <c r="J497" s="183"/>
      <c r="K497" s="183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4"/>
      <c r="H498" s="146" t="str">
        <f t="shared" si="50"/>
        <v/>
      </c>
      <c r="I498" s="183"/>
      <c r="J498" s="183"/>
      <c r="K498" s="183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4"/>
      <c r="H499" s="146" t="str">
        <f t="shared" si="50"/>
        <v/>
      </c>
      <c r="I499" s="183"/>
      <c r="J499" s="183"/>
      <c r="K499" s="183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4"/>
      <c r="H500" s="146" t="str">
        <f t="shared" si="50"/>
        <v/>
      </c>
      <c r="I500" s="183"/>
      <c r="J500" s="183"/>
      <c r="K500" s="183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4"/>
      <c r="H501" s="146" t="str">
        <f t="shared" si="50"/>
        <v/>
      </c>
      <c r="I501" s="183"/>
      <c r="J501" s="183"/>
      <c r="K501" s="183"/>
      <c r="M501" s="141" t="str">
        <f t="shared" si="51"/>
        <v/>
      </c>
      <c r="N501" s="141" t="str">
        <f t="shared" si="52"/>
        <v/>
      </c>
    </row>
    <row r="502" spans="1:14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671" yWindow="885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opLeftCell="C1" zoomScaleNormal="100" workbookViewId="0">
      <pane ySplit="2" topLeftCell="A3" activePane="bottomLeft" state="frozen"/>
      <selection pane="bottomLeft" activeCell="N11" sqref="N11:N1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1" t="s">
        <v>1184</v>
      </c>
      <c r="B1" s="291"/>
      <c r="C1" s="188" t="str">
        <f>IF('Opći dio'!C3="odaberite -","Molimo odaberite proračunskog korisnika na radnom listu Opći podaci!","")</f>
        <v/>
      </c>
    </row>
    <row r="2" spans="1:28" ht="60">
      <c r="A2" s="200" t="s">
        <v>718</v>
      </c>
      <c r="B2" s="201" t="s">
        <v>585</v>
      </c>
      <c r="C2" s="200" t="s">
        <v>586</v>
      </c>
      <c r="D2" s="201" t="s">
        <v>587</v>
      </c>
      <c r="E2" s="200" t="s">
        <v>1185</v>
      </c>
      <c r="F2" s="201" t="s">
        <v>720</v>
      </c>
      <c r="G2" s="190" t="s">
        <v>48</v>
      </c>
      <c r="H2" s="190" t="s">
        <v>49</v>
      </c>
      <c r="I2" s="190" t="s">
        <v>50</v>
      </c>
      <c r="J2" s="202" t="s">
        <v>1186</v>
      </c>
      <c r="K2" s="202" t="s">
        <v>1187</v>
      </c>
      <c r="L2" s="202" t="s">
        <v>1188</v>
      </c>
      <c r="M2" s="202" t="s">
        <v>1189</v>
      </c>
      <c r="N2" s="202" t="s">
        <v>1190</v>
      </c>
      <c r="P2" s="144" t="s">
        <v>588</v>
      </c>
      <c r="Q2" s="144" t="s">
        <v>589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4" t="s">
        <v>1358</v>
      </c>
      <c r="F3" s="146" t="str">
        <f>IFERROR(VLOOKUP(E3,$AA$5:$AB$500,2,FALSE),"")</f>
        <v>HORIZON 2020-MSCA-ITN-2019 - THREAD</v>
      </c>
      <c r="G3" s="183">
        <v>271300</v>
      </c>
      <c r="H3" s="183">
        <v>271300</v>
      </c>
      <c r="I3" s="183">
        <v>67800</v>
      </c>
      <c r="J3" s="199" t="s">
        <v>2339</v>
      </c>
      <c r="K3" s="198" t="s">
        <v>2340</v>
      </c>
      <c r="L3" s="198" t="s">
        <v>2341</v>
      </c>
      <c r="M3" s="199" t="s">
        <v>2342</v>
      </c>
      <c r="N3" s="199" t="s">
        <v>2343</v>
      </c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3121</v>
      </c>
      <c r="D4" s="146" t="str">
        <f t="shared" ref="D4:D67" si="2">IFERROR(VLOOKUP(C4,$U$5:$W$129,2,FALSE),"")</f>
        <v>Ostali rashodi za zaposlene</v>
      </c>
      <c r="E4" s="184" t="s">
        <v>1358</v>
      </c>
      <c r="F4" s="146" t="str">
        <f t="shared" ref="F4:F67" si="3">IFERROR(VLOOKUP(E4,$AA$5:$AB$500,2,FALSE),"")</f>
        <v>HORIZON 2020-MSCA-ITN-2019 - THREAD</v>
      </c>
      <c r="G4" s="183">
        <v>3000</v>
      </c>
      <c r="H4" s="183">
        <v>3000</v>
      </c>
      <c r="I4" s="183">
        <v>1500</v>
      </c>
      <c r="J4" s="199" t="s">
        <v>2339</v>
      </c>
      <c r="K4" s="198" t="s">
        <v>2340</v>
      </c>
      <c r="L4" s="198" t="s">
        <v>2341</v>
      </c>
      <c r="M4" s="199" t="s">
        <v>2342</v>
      </c>
      <c r="N4" s="199" t="s">
        <v>2343</v>
      </c>
      <c r="P4" s="141" t="str">
        <f t="shared" ref="P4:P67" si="4">LEFT(C4,3)</f>
        <v>312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3121</v>
      </c>
      <c r="D5" s="146" t="str">
        <f t="shared" si="2"/>
        <v>Ostali rashodi za zaposlene</v>
      </c>
      <c r="E5" s="184" t="s">
        <v>1358</v>
      </c>
      <c r="F5" s="146" t="str">
        <f t="shared" si="3"/>
        <v>HORIZON 2020-MSCA-ITN-2019 - THREAD</v>
      </c>
      <c r="G5" s="183">
        <v>44700</v>
      </c>
      <c r="H5" s="183">
        <v>44700</v>
      </c>
      <c r="I5" s="183">
        <v>11200</v>
      </c>
      <c r="J5" s="199" t="s">
        <v>2339</v>
      </c>
      <c r="K5" s="198" t="s">
        <v>2340</v>
      </c>
      <c r="L5" s="198" t="s">
        <v>2341</v>
      </c>
      <c r="M5" s="199" t="s">
        <v>2342</v>
      </c>
      <c r="N5" s="199" t="s">
        <v>2343</v>
      </c>
      <c r="P5" s="141" t="str">
        <f t="shared" si="4"/>
        <v>312</v>
      </c>
      <c r="Q5" s="141" t="str">
        <f t="shared" si="5"/>
        <v>31</v>
      </c>
      <c r="R5" s="141" t="s">
        <v>584</v>
      </c>
      <c r="S5" s="141" t="s">
        <v>585</v>
      </c>
      <c r="U5" s="141">
        <v>3111</v>
      </c>
      <c r="V5" s="141" t="s">
        <v>721</v>
      </c>
      <c r="X5" s="141" t="str">
        <f t="shared" ref="X5:X68" si="6">LEFT(U5,2)</f>
        <v>31</v>
      </c>
      <c r="Y5" s="141" t="str">
        <f>LEFT(U5,3)</f>
        <v>311</v>
      </c>
      <c r="AA5" s="141" t="s">
        <v>722</v>
      </c>
      <c r="AB5" s="141" t="s">
        <v>720</v>
      </c>
    </row>
    <row r="6" spans="1:28">
      <c r="A6" s="151">
        <v>51</v>
      </c>
      <c r="B6" s="146" t="str">
        <f t="shared" si="1"/>
        <v>Pomoći EU</v>
      </c>
      <c r="C6" s="151">
        <v>3211</v>
      </c>
      <c r="D6" s="146" t="str">
        <f t="shared" si="2"/>
        <v>Službena putovanja</v>
      </c>
      <c r="E6" s="184" t="s">
        <v>1358</v>
      </c>
      <c r="F6" s="146" t="str">
        <f t="shared" si="3"/>
        <v>HORIZON 2020-MSCA-ITN-2019 - THREAD</v>
      </c>
      <c r="G6" s="183">
        <v>50000</v>
      </c>
      <c r="H6" s="183">
        <v>50000</v>
      </c>
      <c r="I6" s="183">
        <v>50000</v>
      </c>
      <c r="J6" s="199" t="s">
        <v>2339</v>
      </c>
      <c r="K6" s="198" t="s">
        <v>2340</v>
      </c>
      <c r="L6" s="198" t="s">
        <v>2341</v>
      </c>
      <c r="M6" s="199" t="s">
        <v>2342</v>
      </c>
      <c r="N6" s="199" t="s">
        <v>2343</v>
      </c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597</v>
      </c>
      <c r="U6" s="141">
        <v>3112</v>
      </c>
      <c r="V6" s="141" t="s">
        <v>723</v>
      </c>
      <c r="X6" s="141" t="str">
        <f t="shared" si="6"/>
        <v>31</v>
      </c>
      <c r="Y6" s="141" t="str">
        <f t="shared" ref="Y6:Y69" si="7">LEFT(U6,3)</f>
        <v>311</v>
      </c>
      <c r="AA6" s="141" t="s">
        <v>1191</v>
      </c>
      <c r="AB6" s="141" t="s">
        <v>1191</v>
      </c>
    </row>
    <row r="7" spans="1:28">
      <c r="A7" s="151">
        <v>51</v>
      </c>
      <c r="B7" s="146" t="str">
        <f t="shared" si="1"/>
        <v>Pomoći EU</v>
      </c>
      <c r="C7" s="151">
        <v>3222</v>
      </c>
      <c r="D7" s="146" t="str">
        <f t="shared" si="2"/>
        <v>Materijal i sirovine</v>
      </c>
      <c r="E7" s="184" t="s">
        <v>1358</v>
      </c>
      <c r="F7" s="146" t="str">
        <f t="shared" si="3"/>
        <v>HORIZON 2020-MSCA-ITN-2019 - THREAD</v>
      </c>
      <c r="G7" s="183">
        <v>50000</v>
      </c>
      <c r="H7" s="183">
        <v>50000</v>
      </c>
      <c r="I7" s="183">
        <v>50000</v>
      </c>
      <c r="J7" s="199" t="s">
        <v>2339</v>
      </c>
      <c r="K7" s="198" t="s">
        <v>2340</v>
      </c>
      <c r="L7" s="198" t="s">
        <v>2341</v>
      </c>
      <c r="M7" s="199" t="s">
        <v>2342</v>
      </c>
      <c r="N7" s="199" t="s">
        <v>2343</v>
      </c>
      <c r="P7" s="141" t="str">
        <f t="shared" si="4"/>
        <v>322</v>
      </c>
      <c r="Q7" s="141" t="str">
        <f t="shared" si="5"/>
        <v>32</v>
      </c>
      <c r="R7" s="141">
        <v>12</v>
      </c>
      <c r="S7" s="141" t="s">
        <v>599</v>
      </c>
      <c r="U7" s="141">
        <v>3113</v>
      </c>
      <c r="V7" s="141" t="s">
        <v>725</v>
      </c>
      <c r="X7" s="141" t="str">
        <f t="shared" si="6"/>
        <v>31</v>
      </c>
      <c r="Y7" s="141" t="str">
        <f t="shared" si="7"/>
        <v>311</v>
      </c>
      <c r="AA7" s="141" t="s">
        <v>1192</v>
      </c>
      <c r="AB7" s="141" t="s">
        <v>1193</v>
      </c>
    </row>
    <row r="8" spans="1:28">
      <c r="A8" s="151">
        <v>51</v>
      </c>
      <c r="B8" s="146" t="str">
        <f t="shared" si="1"/>
        <v>Pomoći EU</v>
      </c>
      <c r="C8" s="151">
        <v>3213</v>
      </c>
      <c r="D8" s="146" t="str">
        <f t="shared" si="2"/>
        <v>Stručno usavršavanje zaposlenika</v>
      </c>
      <c r="E8" s="184" t="s">
        <v>1358</v>
      </c>
      <c r="F8" s="146" t="str">
        <f t="shared" si="3"/>
        <v>HORIZON 2020-MSCA-ITN-2019 - THREAD</v>
      </c>
      <c r="G8" s="183">
        <v>50000</v>
      </c>
      <c r="H8" s="183">
        <v>50000</v>
      </c>
      <c r="I8" s="183">
        <v>50000</v>
      </c>
      <c r="J8" s="199" t="s">
        <v>2339</v>
      </c>
      <c r="K8" s="198" t="s">
        <v>2340</v>
      </c>
      <c r="L8" s="198" t="s">
        <v>2341</v>
      </c>
      <c r="M8" s="199" t="s">
        <v>2342</v>
      </c>
      <c r="N8" s="199" t="s">
        <v>2343</v>
      </c>
      <c r="P8" s="141" t="str">
        <f t="shared" si="4"/>
        <v>321</v>
      </c>
      <c r="Q8" s="141" t="str">
        <f t="shared" si="5"/>
        <v>32</v>
      </c>
      <c r="R8" s="141">
        <v>31</v>
      </c>
      <c r="S8" s="141" t="s">
        <v>600</v>
      </c>
      <c r="U8" s="141">
        <v>3114</v>
      </c>
      <c r="V8" s="141" t="s">
        <v>728</v>
      </c>
      <c r="X8" s="141" t="str">
        <f t="shared" si="6"/>
        <v>31</v>
      </c>
      <c r="Y8" s="141" t="str">
        <f t="shared" si="7"/>
        <v>311</v>
      </c>
      <c r="AA8" s="141" t="s">
        <v>1194</v>
      </c>
      <c r="AB8" s="141" t="s">
        <v>1195</v>
      </c>
    </row>
    <row r="9" spans="1:28">
      <c r="A9" s="151">
        <v>51</v>
      </c>
      <c r="B9" s="146" t="str">
        <f t="shared" si="1"/>
        <v>Pomoći EU</v>
      </c>
      <c r="C9" s="151">
        <v>4221</v>
      </c>
      <c r="D9" s="146" t="str">
        <f t="shared" si="2"/>
        <v>Uredska oprema i namještaj</v>
      </c>
      <c r="E9" s="184" t="s">
        <v>1358</v>
      </c>
      <c r="F9" s="146" t="str">
        <f t="shared" si="3"/>
        <v>HORIZON 2020-MSCA-ITN-2019 - THREAD</v>
      </c>
      <c r="G9" s="183">
        <v>62000</v>
      </c>
      <c r="H9" s="183">
        <v>62000</v>
      </c>
      <c r="I9" s="183">
        <v>43600</v>
      </c>
      <c r="J9" s="199" t="s">
        <v>2339</v>
      </c>
      <c r="K9" s="198" t="s">
        <v>2340</v>
      </c>
      <c r="L9" s="198" t="s">
        <v>2341</v>
      </c>
      <c r="M9" s="199" t="s">
        <v>2342</v>
      </c>
      <c r="N9" s="199" t="s">
        <v>2343</v>
      </c>
      <c r="P9" s="141" t="str">
        <f t="shared" si="4"/>
        <v>422</v>
      </c>
      <c r="Q9" s="141" t="str">
        <f t="shared" si="5"/>
        <v>42</v>
      </c>
      <c r="R9" s="141">
        <v>41</v>
      </c>
      <c r="S9" s="141" t="s">
        <v>602</v>
      </c>
      <c r="U9" s="141">
        <v>3121</v>
      </c>
      <c r="V9" s="141" t="s">
        <v>731</v>
      </c>
      <c r="X9" s="141" t="str">
        <f t="shared" si="6"/>
        <v>31</v>
      </c>
      <c r="Y9" s="141" t="str">
        <f t="shared" si="7"/>
        <v>312</v>
      </c>
      <c r="AA9" s="141" t="s">
        <v>1196</v>
      </c>
      <c r="AB9" s="141" t="s">
        <v>1197</v>
      </c>
    </row>
    <row r="10" spans="1:28">
      <c r="A10" s="151">
        <v>51</v>
      </c>
      <c r="B10" s="146" t="str">
        <f t="shared" si="1"/>
        <v>Pomoći EU</v>
      </c>
      <c r="C10" s="151">
        <v>3299</v>
      </c>
      <c r="D10" s="146" t="str">
        <f t="shared" si="2"/>
        <v>Ostali nespomenuti rashodi poslovanja</v>
      </c>
      <c r="E10" s="184" t="s">
        <v>1358</v>
      </c>
      <c r="F10" s="146" t="str">
        <f t="shared" si="3"/>
        <v>HORIZON 2020-MSCA-ITN-2019 - THREAD</v>
      </c>
      <c r="G10" s="183">
        <v>44000</v>
      </c>
      <c r="H10" s="183">
        <v>44000</v>
      </c>
      <c r="I10" s="183">
        <v>40000</v>
      </c>
      <c r="J10" s="199" t="s">
        <v>2339</v>
      </c>
      <c r="K10" s="198" t="s">
        <v>2340</v>
      </c>
      <c r="L10" s="198" t="s">
        <v>2341</v>
      </c>
      <c r="M10" s="199" t="s">
        <v>2342</v>
      </c>
      <c r="N10" s="199" t="s">
        <v>2343</v>
      </c>
      <c r="P10" s="141" t="str">
        <f t="shared" si="4"/>
        <v>329</v>
      </c>
      <c r="Q10" s="141" t="str">
        <f t="shared" si="5"/>
        <v>32</v>
      </c>
      <c r="R10" s="141">
        <v>43</v>
      </c>
      <c r="S10" s="141" t="s">
        <v>604</v>
      </c>
      <c r="U10" s="193">
        <v>3132</v>
      </c>
      <c r="V10" s="193" t="s">
        <v>734</v>
      </c>
      <c r="W10" s="193"/>
      <c r="X10" s="193" t="str">
        <f t="shared" si="6"/>
        <v>31</v>
      </c>
      <c r="Y10" s="193" t="str">
        <f t="shared" si="7"/>
        <v>313</v>
      </c>
      <c r="AA10" s="141" t="s">
        <v>1198</v>
      </c>
      <c r="AB10" s="141" t="s">
        <v>1199</v>
      </c>
    </row>
    <row r="11" spans="1:28">
      <c r="A11" s="151">
        <v>51</v>
      </c>
      <c r="B11" s="146" t="str">
        <f t="shared" si="1"/>
        <v>Pomoći EU</v>
      </c>
      <c r="C11" s="151">
        <v>3111</v>
      </c>
      <c r="D11" s="146" t="str">
        <f t="shared" si="2"/>
        <v>Plaće za redovan rad</v>
      </c>
      <c r="E11" s="184" t="s">
        <v>1360</v>
      </c>
      <c r="F11" s="146" t="str">
        <f t="shared" si="3"/>
        <v>ERASMUS + SWARM PROJEKT</v>
      </c>
      <c r="G11" s="183">
        <v>39800</v>
      </c>
      <c r="H11" s="183"/>
      <c r="I11" s="183"/>
      <c r="J11" s="199" t="s">
        <v>2345</v>
      </c>
      <c r="K11" s="198" t="s">
        <v>2346</v>
      </c>
      <c r="L11" s="198" t="s">
        <v>2347</v>
      </c>
      <c r="M11" s="199" t="s">
        <v>2344</v>
      </c>
      <c r="N11" s="199" t="s">
        <v>2348</v>
      </c>
      <c r="P11" s="141" t="str">
        <f t="shared" si="4"/>
        <v>311</v>
      </c>
      <c r="Q11" s="141" t="str">
        <f t="shared" si="5"/>
        <v>31</v>
      </c>
      <c r="R11" s="141">
        <v>51</v>
      </c>
      <c r="S11" s="141" t="s">
        <v>606</v>
      </c>
      <c r="U11" s="141">
        <v>3211</v>
      </c>
      <c r="V11" s="141" t="s">
        <v>737</v>
      </c>
      <c r="X11" s="141" t="str">
        <f t="shared" si="6"/>
        <v>32</v>
      </c>
      <c r="Y11" s="141" t="str">
        <f t="shared" si="7"/>
        <v>321</v>
      </c>
      <c r="AA11" s="141" t="s">
        <v>1200</v>
      </c>
      <c r="AB11" s="141" t="s">
        <v>1201</v>
      </c>
    </row>
    <row r="12" spans="1:28">
      <c r="A12" s="151">
        <v>51</v>
      </c>
      <c r="B12" s="146" t="str">
        <f t="shared" si="1"/>
        <v>Pomoći EU</v>
      </c>
      <c r="C12" s="151">
        <v>3132</v>
      </c>
      <c r="D12" s="146" t="str">
        <f t="shared" si="2"/>
        <v>Doprinosi za obvezno zdravstveno osiguranje</v>
      </c>
      <c r="E12" s="184" t="s">
        <v>1360</v>
      </c>
      <c r="F12" s="146" t="str">
        <f t="shared" si="3"/>
        <v>ERASMUS + SWARM PROJEKT</v>
      </c>
      <c r="G12" s="183">
        <v>6600</v>
      </c>
      <c r="H12" s="183"/>
      <c r="I12" s="183"/>
      <c r="J12" s="199" t="s">
        <v>2345</v>
      </c>
      <c r="K12" s="198" t="s">
        <v>2346</v>
      </c>
      <c r="L12" s="198" t="s">
        <v>2347</v>
      </c>
      <c r="M12" s="199" t="s">
        <v>2344</v>
      </c>
      <c r="N12" s="199" t="s">
        <v>2348</v>
      </c>
      <c r="P12" s="141" t="str">
        <f t="shared" si="4"/>
        <v>313</v>
      </c>
      <c r="Q12" s="141" t="str">
        <f t="shared" si="5"/>
        <v>31</v>
      </c>
      <c r="R12" s="141">
        <v>52</v>
      </c>
      <c r="S12" s="141" t="s">
        <v>608</v>
      </c>
      <c r="U12" s="141">
        <v>3212</v>
      </c>
      <c r="V12" s="141" t="s">
        <v>740</v>
      </c>
      <c r="X12" s="141" t="str">
        <f t="shared" si="6"/>
        <v>32</v>
      </c>
      <c r="Y12" s="141" t="str">
        <f t="shared" si="7"/>
        <v>321</v>
      </c>
      <c r="AA12" s="141" t="s">
        <v>1202</v>
      </c>
      <c r="AB12" s="141" t="s">
        <v>1203</v>
      </c>
    </row>
    <row r="13" spans="1:28">
      <c r="A13" s="151">
        <v>51</v>
      </c>
      <c r="B13" s="146" t="str">
        <f t="shared" si="1"/>
        <v>Pomoći EU</v>
      </c>
      <c r="C13" s="151">
        <v>3211</v>
      </c>
      <c r="D13" s="146" t="str">
        <f t="shared" si="2"/>
        <v>Službena putovanja</v>
      </c>
      <c r="E13" s="184" t="s">
        <v>1360</v>
      </c>
      <c r="F13" s="146" t="str">
        <f t="shared" si="3"/>
        <v>ERASMUS + SWARM PROJEKT</v>
      </c>
      <c r="G13" s="183">
        <v>70000</v>
      </c>
      <c r="H13" s="183"/>
      <c r="I13" s="183"/>
      <c r="J13" s="199" t="s">
        <v>2345</v>
      </c>
      <c r="K13" s="198" t="s">
        <v>2346</v>
      </c>
      <c r="L13" s="198" t="s">
        <v>2347</v>
      </c>
      <c r="M13" s="199" t="s">
        <v>2344</v>
      </c>
      <c r="N13" s="199" t="s">
        <v>2348</v>
      </c>
      <c r="P13" s="141" t="str">
        <f t="shared" si="4"/>
        <v>321</v>
      </c>
      <c r="Q13" s="141" t="str">
        <f t="shared" si="5"/>
        <v>32</v>
      </c>
      <c r="R13" s="141">
        <v>552</v>
      </c>
      <c r="S13" s="141" t="s">
        <v>611</v>
      </c>
      <c r="U13" s="141">
        <v>3213</v>
      </c>
      <c r="V13" s="141" t="s">
        <v>743</v>
      </c>
      <c r="X13" s="141" t="str">
        <f t="shared" si="6"/>
        <v>32</v>
      </c>
      <c r="Y13" s="141" t="str">
        <f t="shared" si="7"/>
        <v>321</v>
      </c>
      <c r="AA13" s="141" t="s">
        <v>1204</v>
      </c>
      <c r="AB13" s="141" t="s">
        <v>1205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4"/>
      <c r="F14" s="146" t="str">
        <f t="shared" si="3"/>
        <v/>
      </c>
      <c r="G14" s="183"/>
      <c r="H14" s="183"/>
      <c r="I14" s="183"/>
      <c r="J14" s="199"/>
      <c r="K14" s="198"/>
      <c r="L14" s="198"/>
      <c r="M14" s="199"/>
      <c r="N14" s="199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613</v>
      </c>
      <c r="U14" s="141">
        <v>3214</v>
      </c>
      <c r="V14" s="141" t="s">
        <v>746</v>
      </c>
      <c r="X14" s="141" t="str">
        <f t="shared" si="6"/>
        <v>32</v>
      </c>
      <c r="Y14" s="141" t="str">
        <f t="shared" si="7"/>
        <v>321</v>
      </c>
      <c r="AA14" s="141" t="s">
        <v>1206</v>
      </c>
      <c r="AB14" s="141" t="s">
        <v>1207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4"/>
      <c r="F15" s="146" t="str">
        <f t="shared" si="3"/>
        <v/>
      </c>
      <c r="G15" s="183"/>
      <c r="H15" s="183"/>
      <c r="I15" s="183"/>
      <c r="J15" s="199"/>
      <c r="K15" s="198"/>
      <c r="L15" s="198"/>
      <c r="M15" s="199"/>
      <c r="N15" s="199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615</v>
      </c>
      <c r="U15" s="141">
        <v>3221</v>
      </c>
      <c r="V15" s="141" t="s">
        <v>749</v>
      </c>
      <c r="X15" s="141" t="str">
        <f t="shared" si="6"/>
        <v>32</v>
      </c>
      <c r="Y15" s="141" t="str">
        <f t="shared" si="7"/>
        <v>322</v>
      </c>
      <c r="AA15" s="141" t="s">
        <v>1208</v>
      </c>
      <c r="AB15" s="141" t="s">
        <v>1209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4"/>
      <c r="F16" s="146" t="str">
        <f t="shared" si="3"/>
        <v/>
      </c>
      <c r="G16" s="183"/>
      <c r="H16" s="183"/>
      <c r="I16" s="183"/>
      <c r="J16" s="199"/>
      <c r="K16" s="198"/>
      <c r="L16" s="198"/>
      <c r="M16" s="199"/>
      <c r="N16" s="199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617</v>
      </c>
      <c r="U16" s="141">
        <v>3222</v>
      </c>
      <c r="V16" s="141" t="s">
        <v>752</v>
      </c>
      <c r="X16" s="141" t="str">
        <f t="shared" si="6"/>
        <v>32</v>
      </c>
      <c r="Y16" s="141" t="str">
        <f t="shared" si="7"/>
        <v>322</v>
      </c>
      <c r="AA16" s="141" t="s">
        <v>1210</v>
      </c>
      <c r="AB16" s="141" t="s">
        <v>1211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4"/>
      <c r="F17" s="146" t="str">
        <f t="shared" si="3"/>
        <v/>
      </c>
      <c r="G17" s="183"/>
      <c r="H17" s="183"/>
      <c r="I17" s="183"/>
      <c r="J17" s="199"/>
      <c r="K17" s="198"/>
      <c r="L17" s="198"/>
      <c r="M17" s="199"/>
      <c r="N17" s="199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619</v>
      </c>
      <c r="U17" s="141">
        <v>3223</v>
      </c>
      <c r="V17" s="141" t="s">
        <v>755</v>
      </c>
      <c r="X17" s="141" t="str">
        <f t="shared" si="6"/>
        <v>32</v>
      </c>
      <c r="Y17" s="141" t="str">
        <f t="shared" si="7"/>
        <v>322</v>
      </c>
      <c r="AA17" s="141" t="s">
        <v>1212</v>
      </c>
      <c r="AB17" s="141" t="s">
        <v>1213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4"/>
      <c r="F18" s="146" t="str">
        <f t="shared" si="3"/>
        <v/>
      </c>
      <c r="G18" s="183"/>
      <c r="H18" s="183"/>
      <c r="I18" s="183"/>
      <c r="J18" s="199"/>
      <c r="K18" s="198"/>
      <c r="L18" s="198"/>
      <c r="M18" s="199"/>
      <c r="N18" s="199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621</v>
      </c>
      <c r="U18" s="141">
        <v>3224</v>
      </c>
      <c r="V18" s="141" t="s">
        <v>758</v>
      </c>
      <c r="X18" s="141" t="str">
        <f t="shared" si="6"/>
        <v>32</v>
      </c>
      <c r="Y18" s="141" t="str">
        <f t="shared" si="7"/>
        <v>322</v>
      </c>
      <c r="AA18" s="141" t="s">
        <v>1214</v>
      </c>
      <c r="AB18" s="141" t="s">
        <v>1215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4"/>
      <c r="F19" s="146" t="str">
        <f t="shared" si="3"/>
        <v/>
      </c>
      <c r="G19" s="183"/>
      <c r="H19" s="183"/>
      <c r="I19" s="183"/>
      <c r="J19" s="199"/>
      <c r="K19" s="198"/>
      <c r="L19" s="198"/>
      <c r="M19" s="199"/>
      <c r="N19" s="199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623</v>
      </c>
      <c r="U19" s="141">
        <v>3225</v>
      </c>
      <c r="V19" s="141" t="s">
        <v>761</v>
      </c>
      <c r="X19" s="141" t="str">
        <f t="shared" si="6"/>
        <v>32</v>
      </c>
      <c r="Y19" s="141" t="str">
        <f t="shared" si="7"/>
        <v>322</v>
      </c>
      <c r="AA19" s="141" t="s">
        <v>1216</v>
      </c>
      <c r="AB19" s="141" t="s">
        <v>1217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4"/>
      <c r="F20" s="146" t="str">
        <f t="shared" si="3"/>
        <v/>
      </c>
      <c r="G20" s="183"/>
      <c r="H20" s="183"/>
      <c r="I20" s="183"/>
      <c r="J20" s="199"/>
      <c r="K20" s="198"/>
      <c r="L20" s="198"/>
      <c r="M20" s="199"/>
      <c r="N20" s="199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625</v>
      </c>
      <c r="U20" s="141">
        <v>3226</v>
      </c>
      <c r="V20" s="141" t="s">
        <v>764</v>
      </c>
      <c r="X20" s="141" t="str">
        <f t="shared" si="6"/>
        <v>32</v>
      </c>
      <c r="Y20" s="141" t="str">
        <f t="shared" si="7"/>
        <v>322</v>
      </c>
      <c r="AA20" s="141" t="s">
        <v>1218</v>
      </c>
      <c r="AB20" s="141" t="s">
        <v>1219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4"/>
      <c r="F21" s="146" t="str">
        <f t="shared" si="3"/>
        <v/>
      </c>
      <c r="G21" s="183"/>
      <c r="H21" s="183"/>
      <c r="I21" s="183"/>
      <c r="J21" s="199"/>
      <c r="K21" s="198"/>
      <c r="L21" s="198"/>
      <c r="M21" s="199"/>
      <c r="N21" s="199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627</v>
      </c>
      <c r="U21" s="141">
        <v>3227</v>
      </c>
      <c r="V21" s="141" t="s">
        <v>767</v>
      </c>
      <c r="X21" s="141" t="str">
        <f t="shared" si="6"/>
        <v>32</v>
      </c>
      <c r="Y21" s="141" t="str">
        <f t="shared" si="7"/>
        <v>322</v>
      </c>
      <c r="AA21" s="141" t="s">
        <v>1220</v>
      </c>
      <c r="AB21" s="141" t="s">
        <v>1221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4"/>
      <c r="F22" s="146" t="str">
        <f t="shared" si="3"/>
        <v/>
      </c>
      <c r="G22" s="183"/>
      <c r="H22" s="183"/>
      <c r="I22" s="183"/>
      <c r="J22" s="199"/>
      <c r="K22" s="198"/>
      <c r="L22" s="198"/>
      <c r="M22" s="199"/>
      <c r="N22" s="199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629</v>
      </c>
      <c r="U22" s="141">
        <v>3231</v>
      </c>
      <c r="V22" s="141" t="s">
        <v>770</v>
      </c>
      <c r="X22" s="141" t="str">
        <f t="shared" si="6"/>
        <v>32</v>
      </c>
      <c r="Y22" s="141" t="str">
        <f t="shared" si="7"/>
        <v>323</v>
      </c>
      <c r="AA22" s="141" t="s">
        <v>1222</v>
      </c>
      <c r="AB22" s="141" t="s">
        <v>1223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4"/>
      <c r="F23" s="146" t="str">
        <f t="shared" si="3"/>
        <v/>
      </c>
      <c r="G23" s="183"/>
      <c r="H23" s="183"/>
      <c r="I23" s="183"/>
      <c r="J23" s="199"/>
      <c r="K23" s="198"/>
      <c r="L23" s="198"/>
      <c r="M23" s="199"/>
      <c r="N23" s="199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632</v>
      </c>
      <c r="U23" s="141">
        <v>3232</v>
      </c>
      <c r="V23" s="141" t="s">
        <v>773</v>
      </c>
      <c r="X23" s="141" t="str">
        <f t="shared" si="6"/>
        <v>32</v>
      </c>
      <c r="Y23" s="141" t="str">
        <f t="shared" si="7"/>
        <v>323</v>
      </c>
      <c r="AA23" s="141" t="s">
        <v>1224</v>
      </c>
      <c r="AB23" s="141" t="s">
        <v>1225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4"/>
      <c r="F24" s="146" t="str">
        <f t="shared" si="3"/>
        <v/>
      </c>
      <c r="G24" s="183"/>
      <c r="H24" s="183"/>
      <c r="I24" s="183"/>
      <c r="J24" s="199"/>
      <c r="K24" s="198"/>
      <c r="L24" s="198"/>
      <c r="M24" s="199"/>
      <c r="N24" s="199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776</v>
      </c>
      <c r="X24" s="141" t="str">
        <f t="shared" si="6"/>
        <v>32</v>
      </c>
      <c r="Y24" s="141" t="str">
        <f t="shared" si="7"/>
        <v>323</v>
      </c>
      <c r="AA24" s="141" t="s">
        <v>1226</v>
      </c>
      <c r="AB24" s="141" t="s">
        <v>1227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4"/>
      <c r="F25" s="146" t="str">
        <f t="shared" si="3"/>
        <v/>
      </c>
      <c r="G25" s="183"/>
      <c r="H25" s="183"/>
      <c r="I25" s="183"/>
      <c r="J25" s="199"/>
      <c r="K25" s="198"/>
      <c r="L25" s="198"/>
      <c r="M25" s="199"/>
      <c r="N25" s="199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779</v>
      </c>
      <c r="X25" s="141" t="str">
        <f t="shared" si="6"/>
        <v>32</v>
      </c>
      <c r="Y25" s="141" t="str">
        <f t="shared" si="7"/>
        <v>323</v>
      </c>
      <c r="AA25" s="141" t="s">
        <v>1228</v>
      </c>
      <c r="AB25" s="141" t="s">
        <v>1229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4"/>
      <c r="F26" s="146" t="str">
        <f t="shared" si="3"/>
        <v/>
      </c>
      <c r="G26" s="183"/>
      <c r="H26" s="183"/>
      <c r="I26" s="183"/>
      <c r="J26" s="199"/>
      <c r="K26" s="198"/>
      <c r="L26" s="198"/>
      <c r="M26" s="199"/>
      <c r="N26" s="199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782</v>
      </c>
      <c r="X26" s="141" t="str">
        <f t="shared" si="6"/>
        <v>32</v>
      </c>
      <c r="Y26" s="141" t="str">
        <f t="shared" si="7"/>
        <v>323</v>
      </c>
      <c r="AA26" s="141" t="s">
        <v>1230</v>
      </c>
      <c r="AB26" s="141" t="s">
        <v>1231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4"/>
      <c r="F27" s="146" t="str">
        <f t="shared" si="3"/>
        <v/>
      </c>
      <c r="G27" s="183"/>
      <c r="H27" s="183"/>
      <c r="I27" s="183"/>
      <c r="J27" s="199"/>
      <c r="K27" s="198"/>
      <c r="L27" s="198"/>
      <c r="M27" s="199"/>
      <c r="N27" s="199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785</v>
      </c>
      <c r="X27" s="141" t="str">
        <f t="shared" si="6"/>
        <v>32</v>
      </c>
      <c r="Y27" s="141" t="str">
        <f t="shared" si="7"/>
        <v>323</v>
      </c>
      <c r="AA27" s="141" t="s">
        <v>1232</v>
      </c>
      <c r="AB27" s="141" t="s">
        <v>1233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4"/>
      <c r="F28" s="146" t="str">
        <f t="shared" si="3"/>
        <v/>
      </c>
      <c r="G28" s="183"/>
      <c r="H28" s="183"/>
      <c r="I28" s="183"/>
      <c r="J28" s="199"/>
      <c r="K28" s="198"/>
      <c r="L28" s="198"/>
      <c r="M28" s="199"/>
      <c r="N28" s="199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788</v>
      </c>
      <c r="X28" s="141" t="str">
        <f t="shared" si="6"/>
        <v>32</v>
      </c>
      <c r="Y28" s="141" t="str">
        <f t="shared" si="7"/>
        <v>323</v>
      </c>
      <c r="AA28" s="141" t="s">
        <v>1234</v>
      </c>
      <c r="AB28" s="141" t="s">
        <v>1235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4"/>
      <c r="F29" s="146" t="str">
        <f t="shared" si="3"/>
        <v/>
      </c>
      <c r="G29" s="183"/>
      <c r="H29" s="183"/>
      <c r="I29" s="183"/>
      <c r="J29" s="199"/>
      <c r="K29" s="198"/>
      <c r="L29" s="198"/>
      <c r="M29" s="199"/>
      <c r="N29" s="199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791</v>
      </c>
      <c r="X29" s="141" t="str">
        <f t="shared" si="6"/>
        <v>32</v>
      </c>
      <c r="Y29" s="141" t="str">
        <f t="shared" si="7"/>
        <v>323</v>
      </c>
      <c r="AA29" s="141" t="s">
        <v>1236</v>
      </c>
      <c r="AB29" s="141" t="s">
        <v>1237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4"/>
      <c r="F30" s="146" t="str">
        <f t="shared" si="3"/>
        <v/>
      </c>
      <c r="G30" s="183"/>
      <c r="H30" s="183"/>
      <c r="I30" s="183"/>
      <c r="J30" s="199"/>
      <c r="K30" s="198"/>
      <c r="L30" s="198"/>
      <c r="M30" s="199"/>
      <c r="N30" s="199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794</v>
      </c>
      <c r="X30" s="141" t="str">
        <f t="shared" si="6"/>
        <v>32</v>
      </c>
      <c r="Y30" s="141" t="str">
        <f t="shared" si="7"/>
        <v>323</v>
      </c>
      <c r="AA30" s="141" t="s">
        <v>1238</v>
      </c>
      <c r="AB30" s="141" t="s">
        <v>1239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4"/>
      <c r="F31" s="146" t="str">
        <f t="shared" si="3"/>
        <v/>
      </c>
      <c r="G31" s="183"/>
      <c r="H31" s="183"/>
      <c r="I31" s="183"/>
      <c r="J31" s="199"/>
      <c r="K31" s="198"/>
      <c r="L31" s="198"/>
      <c r="M31" s="199"/>
      <c r="N31" s="199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797</v>
      </c>
      <c r="X31" s="141" t="str">
        <f t="shared" si="6"/>
        <v>32</v>
      </c>
      <c r="Y31" s="141" t="str">
        <f t="shared" si="7"/>
        <v>324</v>
      </c>
      <c r="AA31" s="141" t="s">
        <v>1240</v>
      </c>
      <c r="AB31" s="141" t="s">
        <v>1241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4"/>
      <c r="F32" s="146" t="str">
        <f t="shared" si="3"/>
        <v/>
      </c>
      <c r="G32" s="183"/>
      <c r="H32" s="183"/>
      <c r="I32" s="183"/>
      <c r="J32" s="199"/>
      <c r="K32" s="198"/>
      <c r="L32" s="198"/>
      <c r="M32" s="199"/>
      <c r="N32" s="199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800</v>
      </c>
      <c r="X32" s="141" t="str">
        <f t="shared" si="6"/>
        <v>32</v>
      </c>
      <c r="Y32" s="141" t="str">
        <f t="shared" si="7"/>
        <v>329</v>
      </c>
      <c r="AA32" s="141" t="s">
        <v>1242</v>
      </c>
      <c r="AB32" s="141" t="s">
        <v>1243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4"/>
      <c r="F33" s="146" t="str">
        <f t="shared" si="3"/>
        <v/>
      </c>
      <c r="G33" s="183"/>
      <c r="H33" s="183"/>
      <c r="I33" s="183"/>
      <c r="J33" s="199"/>
      <c r="K33" s="198"/>
      <c r="L33" s="198"/>
      <c r="M33" s="199"/>
      <c r="N33" s="199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803</v>
      </c>
      <c r="X33" s="141" t="str">
        <f t="shared" si="6"/>
        <v>32</v>
      </c>
      <c r="Y33" s="141" t="str">
        <f t="shared" si="7"/>
        <v>329</v>
      </c>
      <c r="AA33" s="141" t="s">
        <v>1244</v>
      </c>
      <c r="AB33" s="141" t="s">
        <v>1245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4"/>
      <c r="F34" s="146" t="str">
        <f t="shared" si="3"/>
        <v/>
      </c>
      <c r="G34" s="183"/>
      <c r="H34" s="183"/>
      <c r="I34" s="183"/>
      <c r="J34" s="199"/>
      <c r="K34" s="198"/>
      <c r="L34" s="198"/>
      <c r="M34" s="199"/>
      <c r="N34" s="199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806</v>
      </c>
      <c r="X34" s="141" t="str">
        <f t="shared" si="6"/>
        <v>32</v>
      </c>
      <c r="Y34" s="141" t="str">
        <f t="shared" si="7"/>
        <v>329</v>
      </c>
      <c r="AA34" s="141" t="s">
        <v>1246</v>
      </c>
      <c r="AB34" s="141" t="s">
        <v>1247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4"/>
      <c r="F35" s="146" t="str">
        <f t="shared" si="3"/>
        <v/>
      </c>
      <c r="G35" s="183"/>
      <c r="H35" s="183"/>
      <c r="I35" s="183"/>
      <c r="J35" s="199"/>
      <c r="K35" s="198"/>
      <c r="L35" s="198"/>
      <c r="M35" s="199"/>
      <c r="N35" s="199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809</v>
      </c>
      <c r="X35" s="141" t="str">
        <f t="shared" si="6"/>
        <v>32</v>
      </c>
      <c r="Y35" s="141" t="str">
        <f t="shared" si="7"/>
        <v>329</v>
      </c>
      <c r="AA35" s="141" t="s">
        <v>1248</v>
      </c>
      <c r="AB35" s="141" t="s">
        <v>1249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4"/>
      <c r="F36" s="146" t="str">
        <f t="shared" si="3"/>
        <v/>
      </c>
      <c r="G36" s="183"/>
      <c r="H36" s="183"/>
      <c r="I36" s="183"/>
      <c r="J36" s="199"/>
      <c r="K36" s="198"/>
      <c r="L36" s="198"/>
      <c r="M36" s="199"/>
      <c r="N36" s="199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812</v>
      </c>
      <c r="X36" s="141" t="str">
        <f t="shared" si="6"/>
        <v>32</v>
      </c>
      <c r="Y36" s="141" t="str">
        <f t="shared" si="7"/>
        <v>329</v>
      </c>
      <c r="AA36" s="141" t="s">
        <v>1250</v>
      </c>
      <c r="AB36" s="141" t="s">
        <v>1251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4"/>
      <c r="F37" s="146" t="str">
        <f t="shared" si="3"/>
        <v/>
      </c>
      <c r="G37" s="183"/>
      <c r="H37" s="183"/>
      <c r="I37" s="183"/>
      <c r="J37" s="199"/>
      <c r="K37" s="198"/>
      <c r="L37" s="198"/>
      <c r="M37" s="199"/>
      <c r="N37" s="199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815</v>
      </c>
      <c r="X37" s="141" t="str">
        <f t="shared" si="6"/>
        <v>32</v>
      </c>
      <c r="Y37" s="141" t="str">
        <f t="shared" si="7"/>
        <v>329</v>
      </c>
      <c r="AA37" s="141" t="s">
        <v>1252</v>
      </c>
      <c r="AB37" s="141" t="s">
        <v>1253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4"/>
      <c r="F38" s="146" t="str">
        <f t="shared" si="3"/>
        <v/>
      </c>
      <c r="G38" s="183"/>
      <c r="H38" s="183"/>
      <c r="I38" s="183"/>
      <c r="J38" s="199"/>
      <c r="K38" s="198"/>
      <c r="L38" s="198"/>
      <c r="M38" s="199"/>
      <c r="N38" s="199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818</v>
      </c>
      <c r="X38" s="141" t="str">
        <f t="shared" si="6"/>
        <v>32</v>
      </c>
      <c r="Y38" s="141" t="str">
        <f t="shared" si="7"/>
        <v>329</v>
      </c>
      <c r="AA38" s="141" t="s">
        <v>1254</v>
      </c>
      <c r="AB38" s="141" t="s">
        <v>1255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4"/>
      <c r="F39" s="146" t="str">
        <f t="shared" si="3"/>
        <v/>
      </c>
      <c r="G39" s="183"/>
      <c r="H39" s="183"/>
      <c r="I39" s="183"/>
      <c r="J39" s="199"/>
      <c r="K39" s="198"/>
      <c r="L39" s="198"/>
      <c r="M39" s="199"/>
      <c r="N39" s="199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821</v>
      </c>
      <c r="X39" s="141" t="str">
        <f t="shared" si="6"/>
        <v>32</v>
      </c>
      <c r="Y39" s="141" t="str">
        <f t="shared" si="7"/>
        <v>329</v>
      </c>
      <c r="AA39" s="141" t="s">
        <v>1256</v>
      </c>
      <c r="AB39" s="141" t="s">
        <v>1257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4"/>
      <c r="F40" s="146" t="str">
        <f t="shared" si="3"/>
        <v/>
      </c>
      <c r="G40" s="183"/>
      <c r="H40" s="183"/>
      <c r="I40" s="183"/>
      <c r="J40" s="199"/>
      <c r="K40" s="198"/>
      <c r="L40" s="198"/>
      <c r="M40" s="199"/>
      <c r="N40" s="199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824</v>
      </c>
      <c r="X40" s="141" t="str">
        <f t="shared" si="6"/>
        <v>34</v>
      </c>
      <c r="Y40" s="141" t="str">
        <f t="shared" si="7"/>
        <v>341</v>
      </c>
      <c r="AA40" s="141" t="s">
        <v>1258</v>
      </c>
      <c r="AB40" s="141" t="s">
        <v>1259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4"/>
      <c r="F41" s="146" t="str">
        <f t="shared" si="3"/>
        <v/>
      </c>
      <c r="G41" s="183"/>
      <c r="H41" s="183"/>
      <c r="I41" s="183"/>
      <c r="J41" s="199"/>
      <c r="K41" s="198"/>
      <c r="L41" s="198"/>
      <c r="M41" s="199"/>
      <c r="N41" s="199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827</v>
      </c>
      <c r="X41" s="141" t="str">
        <f t="shared" si="6"/>
        <v>34</v>
      </c>
      <c r="Y41" s="141" t="str">
        <f t="shared" si="7"/>
        <v>342</v>
      </c>
      <c r="AA41" s="141" t="s">
        <v>1260</v>
      </c>
      <c r="AB41" s="141" t="s">
        <v>1261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4"/>
      <c r="F42" s="146" t="str">
        <f t="shared" si="3"/>
        <v/>
      </c>
      <c r="G42" s="183"/>
      <c r="H42" s="183"/>
      <c r="I42" s="183"/>
      <c r="J42" s="199"/>
      <c r="K42" s="198"/>
      <c r="L42" s="198"/>
      <c r="M42" s="199"/>
      <c r="N42" s="199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827</v>
      </c>
      <c r="X42" s="141" t="str">
        <f t="shared" si="6"/>
        <v>34</v>
      </c>
      <c r="Y42" s="141" t="str">
        <f t="shared" si="7"/>
        <v>342</v>
      </c>
      <c r="AA42" s="141" t="s">
        <v>1262</v>
      </c>
      <c r="AB42" s="141" t="s">
        <v>1263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4"/>
      <c r="F43" s="146" t="str">
        <f t="shared" si="3"/>
        <v/>
      </c>
      <c r="G43" s="183"/>
      <c r="H43" s="183"/>
      <c r="I43" s="183"/>
      <c r="J43" s="199"/>
      <c r="K43" s="198"/>
      <c r="L43" s="198"/>
      <c r="M43" s="199"/>
      <c r="N43" s="199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832</v>
      </c>
      <c r="X43" s="141" t="str">
        <f t="shared" si="6"/>
        <v>34</v>
      </c>
      <c r="Y43" s="141" t="str">
        <f t="shared" si="7"/>
        <v>342</v>
      </c>
      <c r="AA43" s="141" t="s">
        <v>1264</v>
      </c>
      <c r="AB43" s="141" t="s">
        <v>1265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4"/>
      <c r="F44" s="146" t="str">
        <f t="shared" si="3"/>
        <v/>
      </c>
      <c r="G44" s="183"/>
      <c r="H44" s="183"/>
      <c r="I44" s="183"/>
      <c r="J44" s="199"/>
      <c r="K44" s="198"/>
      <c r="L44" s="198"/>
      <c r="M44" s="199"/>
      <c r="N44" s="199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835</v>
      </c>
      <c r="X44" s="141" t="str">
        <f t="shared" si="6"/>
        <v>34</v>
      </c>
      <c r="Y44" s="141" t="str">
        <f t="shared" si="7"/>
        <v>343</v>
      </c>
      <c r="AA44" s="141" t="s">
        <v>1266</v>
      </c>
      <c r="AB44" s="141" t="s">
        <v>1267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4"/>
      <c r="F45" s="146" t="str">
        <f t="shared" si="3"/>
        <v/>
      </c>
      <c r="G45" s="183"/>
      <c r="H45" s="183"/>
      <c r="I45" s="183"/>
      <c r="J45" s="199"/>
      <c r="K45" s="198"/>
      <c r="L45" s="198"/>
      <c r="M45" s="199"/>
      <c r="N45" s="199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838</v>
      </c>
      <c r="X45" s="141" t="str">
        <f t="shared" si="6"/>
        <v>34</v>
      </c>
      <c r="Y45" s="141" t="str">
        <f t="shared" si="7"/>
        <v>343</v>
      </c>
      <c r="AA45" s="141" t="s">
        <v>1268</v>
      </c>
      <c r="AB45" s="141" t="s">
        <v>1269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4"/>
      <c r="F46" s="146" t="str">
        <f t="shared" si="3"/>
        <v/>
      </c>
      <c r="G46" s="183"/>
      <c r="H46" s="183"/>
      <c r="I46" s="183"/>
      <c r="J46" s="199"/>
      <c r="K46" s="198"/>
      <c r="L46" s="198"/>
      <c r="M46" s="199"/>
      <c r="N46" s="199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841</v>
      </c>
      <c r="X46" s="141" t="str">
        <f t="shared" si="6"/>
        <v>34</v>
      </c>
      <c r="Y46" s="141" t="str">
        <f t="shared" si="7"/>
        <v>343</v>
      </c>
      <c r="AA46" s="141" t="s">
        <v>1270</v>
      </c>
      <c r="AB46" s="141" t="s">
        <v>1271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4"/>
      <c r="F47" s="146" t="str">
        <f t="shared" si="3"/>
        <v/>
      </c>
      <c r="G47" s="183"/>
      <c r="H47" s="183"/>
      <c r="I47" s="183"/>
      <c r="J47" s="199"/>
      <c r="K47" s="198"/>
      <c r="L47" s="198"/>
      <c r="M47" s="199"/>
      <c r="N47" s="199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844</v>
      </c>
      <c r="X47" s="141" t="str">
        <f t="shared" si="6"/>
        <v>34</v>
      </c>
      <c r="Y47" s="141" t="str">
        <f t="shared" si="7"/>
        <v>343</v>
      </c>
      <c r="AA47" s="141" t="s">
        <v>1272</v>
      </c>
      <c r="AB47" s="141" t="s">
        <v>1273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4"/>
      <c r="F48" s="146" t="str">
        <f t="shared" si="3"/>
        <v/>
      </c>
      <c r="G48" s="183"/>
      <c r="H48" s="183"/>
      <c r="I48" s="183"/>
      <c r="J48" s="199"/>
      <c r="K48" s="198"/>
      <c r="L48" s="198"/>
      <c r="M48" s="199"/>
      <c r="N48" s="199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847</v>
      </c>
      <c r="X48" s="141" t="str">
        <f t="shared" si="6"/>
        <v>35</v>
      </c>
      <c r="Y48" s="141" t="str">
        <f t="shared" si="7"/>
        <v>351</v>
      </c>
      <c r="AA48" s="141" t="s">
        <v>1274</v>
      </c>
      <c r="AB48" s="141" t="s">
        <v>1275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4"/>
      <c r="F49" s="146" t="str">
        <f t="shared" si="3"/>
        <v/>
      </c>
      <c r="G49" s="183"/>
      <c r="H49" s="183"/>
      <c r="I49" s="183"/>
      <c r="J49" s="199"/>
      <c r="K49" s="198"/>
      <c r="L49" s="198"/>
      <c r="M49" s="199"/>
      <c r="N49" s="199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850</v>
      </c>
      <c r="X49" s="141" t="str">
        <f t="shared" si="6"/>
        <v>35</v>
      </c>
      <c r="Y49" s="141" t="str">
        <f t="shared" si="7"/>
        <v>351</v>
      </c>
      <c r="AA49" s="141" t="s">
        <v>1276</v>
      </c>
      <c r="AB49" s="141" t="s">
        <v>1277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4"/>
      <c r="F50" s="146" t="str">
        <f t="shared" si="3"/>
        <v/>
      </c>
      <c r="G50" s="183"/>
      <c r="H50" s="183"/>
      <c r="I50" s="183"/>
      <c r="J50" s="199"/>
      <c r="K50" s="198"/>
      <c r="L50" s="198"/>
      <c r="M50" s="199"/>
      <c r="N50" s="199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853</v>
      </c>
      <c r="X50" s="141" t="str">
        <f t="shared" si="6"/>
        <v>35</v>
      </c>
      <c r="Y50" s="141" t="str">
        <f t="shared" si="7"/>
        <v>352</v>
      </c>
      <c r="AA50" s="141" t="s">
        <v>1278</v>
      </c>
      <c r="AB50" s="141" t="s">
        <v>1279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4"/>
      <c r="F51" s="146" t="str">
        <f t="shared" si="3"/>
        <v/>
      </c>
      <c r="G51" s="183"/>
      <c r="H51" s="183"/>
      <c r="I51" s="183"/>
      <c r="J51" s="199"/>
      <c r="K51" s="198"/>
      <c r="L51" s="198"/>
      <c r="M51" s="199"/>
      <c r="N51" s="199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856</v>
      </c>
      <c r="X51" s="141" t="str">
        <f t="shared" si="6"/>
        <v>35</v>
      </c>
      <c r="Y51" s="141" t="str">
        <f t="shared" si="7"/>
        <v>353</v>
      </c>
      <c r="AA51" s="141" t="s">
        <v>1280</v>
      </c>
      <c r="AB51" s="141" t="s">
        <v>1281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4"/>
      <c r="F52" s="146" t="str">
        <f t="shared" si="3"/>
        <v/>
      </c>
      <c r="G52" s="183"/>
      <c r="H52" s="183"/>
      <c r="I52" s="183"/>
      <c r="J52" s="199"/>
      <c r="K52" s="198"/>
      <c r="L52" s="198"/>
      <c r="M52" s="199"/>
      <c r="N52" s="199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859</v>
      </c>
      <c r="X52" s="141" t="str">
        <f t="shared" si="6"/>
        <v>36</v>
      </c>
      <c r="Y52" s="141" t="str">
        <f t="shared" si="7"/>
        <v>361</v>
      </c>
      <c r="AA52" s="141" t="s">
        <v>1282</v>
      </c>
      <c r="AB52" s="141" t="s">
        <v>1283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4"/>
      <c r="F53" s="146" t="str">
        <f t="shared" si="3"/>
        <v/>
      </c>
      <c r="G53" s="183"/>
      <c r="H53" s="183"/>
      <c r="I53" s="183"/>
      <c r="J53" s="199"/>
      <c r="K53" s="198"/>
      <c r="L53" s="198"/>
      <c r="M53" s="199"/>
      <c r="N53" s="199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862</v>
      </c>
      <c r="X53" s="141" t="str">
        <f t="shared" si="6"/>
        <v>36</v>
      </c>
      <c r="Y53" s="141" t="str">
        <f t="shared" si="7"/>
        <v>362</v>
      </c>
      <c r="AA53" s="141" t="s">
        <v>1284</v>
      </c>
      <c r="AB53" s="141" t="s">
        <v>1285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4"/>
      <c r="F54" s="146" t="str">
        <f t="shared" si="3"/>
        <v/>
      </c>
      <c r="G54" s="183"/>
      <c r="H54" s="183"/>
      <c r="I54" s="183"/>
      <c r="J54" s="199"/>
      <c r="K54" s="198"/>
      <c r="L54" s="198"/>
      <c r="M54" s="199"/>
      <c r="N54" s="199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865</v>
      </c>
      <c r="X54" s="141" t="str">
        <f t="shared" si="6"/>
        <v>36</v>
      </c>
      <c r="Y54" s="141" t="str">
        <f t="shared" si="7"/>
        <v>363</v>
      </c>
      <c r="AA54" s="141" t="s">
        <v>1286</v>
      </c>
      <c r="AB54" s="141" t="s">
        <v>1287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4"/>
      <c r="F55" s="146" t="str">
        <f t="shared" si="3"/>
        <v/>
      </c>
      <c r="G55" s="183"/>
      <c r="H55" s="183"/>
      <c r="I55" s="183"/>
      <c r="J55" s="199"/>
      <c r="K55" s="198"/>
      <c r="L55" s="198"/>
      <c r="M55" s="199"/>
      <c r="N55" s="199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868</v>
      </c>
      <c r="X55" s="141" t="str">
        <f t="shared" si="6"/>
        <v>36</v>
      </c>
      <c r="Y55" s="141" t="str">
        <f t="shared" si="7"/>
        <v>363</v>
      </c>
      <c r="AA55" s="141" t="s">
        <v>1288</v>
      </c>
      <c r="AB55" s="141" t="s">
        <v>1289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4"/>
      <c r="F56" s="146" t="str">
        <f t="shared" si="3"/>
        <v/>
      </c>
      <c r="G56" s="183"/>
      <c r="H56" s="183"/>
      <c r="I56" s="183"/>
      <c r="J56" s="199"/>
      <c r="K56" s="198"/>
      <c r="L56" s="198"/>
      <c r="M56" s="199"/>
      <c r="N56" s="199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871</v>
      </c>
      <c r="X56" s="141" t="str">
        <f t="shared" si="6"/>
        <v>36</v>
      </c>
      <c r="Y56" s="141" t="str">
        <f t="shared" si="7"/>
        <v>366</v>
      </c>
      <c r="AA56" s="141" t="s">
        <v>1290</v>
      </c>
      <c r="AB56" s="141" t="s">
        <v>1291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4"/>
      <c r="F57" s="146" t="str">
        <f t="shared" si="3"/>
        <v/>
      </c>
      <c r="G57" s="183"/>
      <c r="H57" s="183"/>
      <c r="I57" s="183"/>
      <c r="J57" s="199"/>
      <c r="K57" s="198"/>
      <c r="L57" s="198"/>
      <c r="M57" s="199"/>
      <c r="N57" s="199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874</v>
      </c>
      <c r="X57" s="141" t="str">
        <f t="shared" si="6"/>
        <v>36</v>
      </c>
      <c r="Y57" s="141" t="str">
        <f t="shared" si="7"/>
        <v>366</v>
      </c>
      <c r="AA57" s="141" t="s">
        <v>1292</v>
      </c>
      <c r="AB57" s="141" t="s">
        <v>1293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4"/>
      <c r="F58" s="146" t="str">
        <f t="shared" si="3"/>
        <v/>
      </c>
      <c r="G58" s="183"/>
      <c r="H58" s="183"/>
      <c r="I58" s="183"/>
      <c r="J58" s="199"/>
      <c r="K58" s="198"/>
      <c r="L58" s="198"/>
      <c r="M58" s="199"/>
      <c r="N58" s="199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877</v>
      </c>
      <c r="X58" s="141" t="str">
        <f t="shared" si="6"/>
        <v>36</v>
      </c>
      <c r="Y58" s="141" t="str">
        <f t="shared" si="7"/>
        <v>368</v>
      </c>
      <c r="AA58" s="141" t="s">
        <v>1294</v>
      </c>
      <c r="AB58" s="141" t="s">
        <v>1295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4"/>
      <c r="F59" s="146" t="str">
        <f t="shared" si="3"/>
        <v/>
      </c>
      <c r="G59" s="183"/>
      <c r="H59" s="183"/>
      <c r="I59" s="183"/>
      <c r="J59" s="199"/>
      <c r="K59" s="198"/>
      <c r="L59" s="198"/>
      <c r="M59" s="199"/>
      <c r="N59" s="199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880</v>
      </c>
      <c r="X59" s="141" t="str">
        <f t="shared" si="6"/>
        <v>36</v>
      </c>
      <c r="Y59" s="141" t="str">
        <f t="shared" si="7"/>
        <v>368</v>
      </c>
      <c r="AA59" s="141" t="s">
        <v>1296</v>
      </c>
      <c r="AB59" s="141" t="s">
        <v>1297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4"/>
      <c r="F60" s="146" t="str">
        <f t="shared" si="3"/>
        <v/>
      </c>
      <c r="G60" s="183"/>
      <c r="H60" s="183"/>
      <c r="I60" s="183"/>
      <c r="J60" s="199"/>
      <c r="K60" s="198"/>
      <c r="L60" s="198"/>
      <c r="M60" s="199"/>
      <c r="N60" s="199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883</v>
      </c>
      <c r="X60" s="141" t="str">
        <f t="shared" si="6"/>
        <v>36</v>
      </c>
      <c r="Y60" s="141" t="str">
        <f t="shared" si="7"/>
        <v>369</v>
      </c>
      <c r="AA60" s="141" t="s">
        <v>1298</v>
      </c>
      <c r="AB60" s="141" t="s">
        <v>1299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4"/>
      <c r="F61" s="146" t="str">
        <f t="shared" si="3"/>
        <v/>
      </c>
      <c r="G61" s="183"/>
      <c r="H61" s="183"/>
      <c r="I61" s="183"/>
      <c r="J61" s="199"/>
      <c r="K61" s="198"/>
      <c r="L61" s="198"/>
      <c r="M61" s="199"/>
      <c r="N61" s="199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886</v>
      </c>
      <c r="X61" s="141" t="str">
        <f t="shared" si="6"/>
        <v>36</v>
      </c>
      <c r="Y61" s="141" t="str">
        <f t="shared" si="7"/>
        <v>369</v>
      </c>
      <c r="AA61" s="141" t="s">
        <v>1300</v>
      </c>
      <c r="AB61" s="141" t="s">
        <v>1301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4"/>
      <c r="F62" s="146" t="str">
        <f t="shared" si="3"/>
        <v/>
      </c>
      <c r="G62" s="183"/>
      <c r="H62" s="183"/>
      <c r="I62" s="183"/>
      <c r="J62" s="199"/>
      <c r="K62" s="198"/>
      <c r="L62" s="198"/>
      <c r="M62" s="199"/>
      <c r="N62" s="199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883</v>
      </c>
      <c r="X62" s="141" t="str">
        <f t="shared" si="6"/>
        <v>36</v>
      </c>
      <c r="Y62" s="141" t="str">
        <f t="shared" si="7"/>
        <v>369</v>
      </c>
      <c r="AA62" s="141" t="s">
        <v>1302</v>
      </c>
      <c r="AB62" s="141" t="s">
        <v>1303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4"/>
      <c r="F63" s="146" t="str">
        <f t="shared" si="3"/>
        <v/>
      </c>
      <c r="G63" s="183"/>
      <c r="H63" s="183"/>
      <c r="I63" s="183"/>
      <c r="J63" s="199"/>
      <c r="K63" s="198"/>
      <c r="L63" s="198"/>
      <c r="M63" s="199"/>
      <c r="N63" s="199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886</v>
      </c>
      <c r="X63" s="141" t="str">
        <f t="shared" si="6"/>
        <v>36</v>
      </c>
      <c r="Y63" s="141" t="str">
        <f t="shared" si="7"/>
        <v>369</v>
      </c>
      <c r="AA63" s="141" t="s">
        <v>1304</v>
      </c>
      <c r="AB63" s="141" t="s">
        <v>1305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4"/>
      <c r="F64" s="146" t="str">
        <f t="shared" si="3"/>
        <v/>
      </c>
      <c r="G64" s="183"/>
      <c r="H64" s="183"/>
      <c r="I64" s="183"/>
      <c r="J64" s="199"/>
      <c r="K64" s="198"/>
      <c r="L64" s="198"/>
      <c r="M64" s="199"/>
      <c r="N64" s="199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893</v>
      </c>
      <c r="X64" s="141" t="str">
        <f t="shared" si="6"/>
        <v>37</v>
      </c>
      <c r="Y64" s="141" t="str">
        <f t="shared" si="7"/>
        <v>371</v>
      </c>
      <c r="AA64" s="141" t="s">
        <v>1306</v>
      </c>
      <c r="AB64" s="141" t="s">
        <v>1307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4"/>
      <c r="F65" s="146" t="str">
        <f t="shared" si="3"/>
        <v/>
      </c>
      <c r="G65" s="183"/>
      <c r="H65" s="183"/>
      <c r="I65" s="183"/>
      <c r="J65" s="199"/>
      <c r="K65" s="198"/>
      <c r="L65" s="198"/>
      <c r="M65" s="199"/>
      <c r="N65" s="199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896</v>
      </c>
      <c r="X65" s="141" t="str">
        <f t="shared" si="6"/>
        <v>37</v>
      </c>
      <c r="Y65" s="141" t="str">
        <f t="shared" si="7"/>
        <v>371</v>
      </c>
      <c r="AA65" s="141" t="s">
        <v>1308</v>
      </c>
      <c r="AB65" s="141" t="s">
        <v>1309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4"/>
      <c r="F66" s="146" t="str">
        <f t="shared" si="3"/>
        <v/>
      </c>
      <c r="G66" s="183"/>
      <c r="H66" s="183"/>
      <c r="I66" s="183"/>
      <c r="J66" s="199"/>
      <c r="K66" s="198"/>
      <c r="L66" s="198"/>
      <c r="M66" s="199"/>
      <c r="N66" s="199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899</v>
      </c>
      <c r="X66" s="141" t="str">
        <f t="shared" si="6"/>
        <v>37</v>
      </c>
      <c r="Y66" s="141" t="str">
        <f t="shared" si="7"/>
        <v>371</v>
      </c>
      <c r="AA66" s="141" t="s">
        <v>1310</v>
      </c>
      <c r="AB66" s="141" t="s">
        <v>1311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4"/>
      <c r="F67" s="146" t="str">
        <f t="shared" si="3"/>
        <v/>
      </c>
      <c r="G67" s="183"/>
      <c r="H67" s="183"/>
      <c r="I67" s="183"/>
      <c r="J67" s="199"/>
      <c r="K67" s="198"/>
      <c r="L67" s="198"/>
      <c r="M67" s="199"/>
      <c r="N67" s="199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902</v>
      </c>
      <c r="X67" s="141" t="str">
        <f t="shared" si="6"/>
        <v>37</v>
      </c>
      <c r="Y67" s="141" t="str">
        <f t="shared" si="7"/>
        <v>371</v>
      </c>
      <c r="AA67" s="141" t="s">
        <v>1312</v>
      </c>
      <c r="AB67" s="141" t="s">
        <v>1313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4"/>
      <c r="F68" s="146" t="str">
        <f t="shared" ref="F68:F131" si="10">IFERROR(VLOOKUP(E68,$AA$5:$AB$500,2,FALSE),"")</f>
        <v/>
      </c>
      <c r="G68" s="183"/>
      <c r="H68" s="183"/>
      <c r="I68" s="183"/>
      <c r="J68" s="199"/>
      <c r="K68" s="198"/>
      <c r="L68" s="198"/>
      <c r="M68" s="199"/>
      <c r="N68" s="199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905</v>
      </c>
      <c r="X68" s="141" t="str">
        <f t="shared" si="6"/>
        <v>37</v>
      </c>
      <c r="Y68" s="141" t="str">
        <f t="shared" si="7"/>
        <v>371</v>
      </c>
      <c r="AA68" s="141" t="s">
        <v>1314</v>
      </c>
      <c r="AB68" s="141" t="s">
        <v>1315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4"/>
      <c r="F69" s="146" t="str">
        <f t="shared" si="10"/>
        <v/>
      </c>
      <c r="G69" s="183"/>
      <c r="H69" s="183"/>
      <c r="I69" s="183"/>
      <c r="J69" s="199"/>
      <c r="K69" s="198"/>
      <c r="L69" s="198"/>
      <c r="M69" s="199"/>
      <c r="N69" s="199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908</v>
      </c>
      <c r="X69" s="141" t="str">
        <f t="shared" ref="X69:X129" si="13">LEFT(U69,2)</f>
        <v>37</v>
      </c>
      <c r="Y69" s="141" t="str">
        <f t="shared" si="7"/>
        <v>372</v>
      </c>
      <c r="AA69" s="141" t="s">
        <v>1316</v>
      </c>
      <c r="AB69" s="141" t="s">
        <v>1317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4"/>
      <c r="F70" s="146" t="str">
        <f t="shared" si="10"/>
        <v/>
      </c>
      <c r="G70" s="183"/>
      <c r="H70" s="183"/>
      <c r="I70" s="183"/>
      <c r="J70" s="199"/>
      <c r="K70" s="198"/>
      <c r="L70" s="198"/>
      <c r="M70" s="199"/>
      <c r="N70" s="199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911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1318</v>
      </c>
      <c r="AB70" s="141" t="s">
        <v>1319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4"/>
      <c r="F71" s="146" t="str">
        <f t="shared" si="10"/>
        <v/>
      </c>
      <c r="G71" s="183"/>
      <c r="H71" s="183"/>
      <c r="I71" s="183"/>
      <c r="J71" s="199"/>
      <c r="K71" s="198"/>
      <c r="L71" s="198"/>
      <c r="M71" s="199"/>
      <c r="N71" s="199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914</v>
      </c>
      <c r="X71" s="141" t="str">
        <f t="shared" si="13"/>
        <v>37</v>
      </c>
      <c r="Y71" s="141" t="str">
        <f t="shared" si="14"/>
        <v>372</v>
      </c>
      <c r="AA71" s="141" t="s">
        <v>1320</v>
      </c>
      <c r="AB71" s="141" t="s">
        <v>1321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4"/>
      <c r="F72" s="146" t="str">
        <f t="shared" si="10"/>
        <v/>
      </c>
      <c r="G72" s="183"/>
      <c r="H72" s="183"/>
      <c r="I72" s="183"/>
      <c r="J72" s="199"/>
      <c r="K72" s="198"/>
      <c r="L72" s="198"/>
      <c r="M72" s="199"/>
      <c r="N72" s="199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917</v>
      </c>
      <c r="X72" s="141" t="str">
        <f t="shared" si="13"/>
        <v>38</v>
      </c>
      <c r="Y72" s="141" t="str">
        <f t="shared" si="14"/>
        <v>381</v>
      </c>
      <c r="AA72" s="141" t="s">
        <v>1322</v>
      </c>
      <c r="AB72" s="141" t="s">
        <v>1323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4"/>
      <c r="F73" s="146" t="str">
        <f t="shared" si="10"/>
        <v/>
      </c>
      <c r="G73" s="183"/>
      <c r="H73" s="183"/>
      <c r="I73" s="183"/>
      <c r="J73" s="199"/>
      <c r="K73" s="198"/>
      <c r="L73" s="198"/>
      <c r="M73" s="199"/>
      <c r="N73" s="199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920</v>
      </c>
      <c r="X73" s="141" t="str">
        <f t="shared" si="13"/>
        <v>38</v>
      </c>
      <c r="Y73" s="141" t="str">
        <f t="shared" si="14"/>
        <v>381</v>
      </c>
      <c r="AA73" s="141" t="s">
        <v>1324</v>
      </c>
      <c r="AB73" s="141" t="s">
        <v>1325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4"/>
      <c r="F74" s="146" t="str">
        <f t="shared" si="10"/>
        <v/>
      </c>
      <c r="G74" s="183"/>
      <c r="H74" s="183"/>
      <c r="I74" s="183"/>
      <c r="J74" s="199"/>
      <c r="K74" s="198"/>
      <c r="L74" s="198"/>
      <c r="M74" s="199"/>
      <c r="N74" s="199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923</v>
      </c>
      <c r="X74" s="141" t="str">
        <f t="shared" si="13"/>
        <v>38</v>
      </c>
      <c r="Y74" s="141" t="str">
        <f t="shared" si="14"/>
        <v>381</v>
      </c>
      <c r="AA74" s="141" t="s">
        <v>1326</v>
      </c>
      <c r="AB74" s="141" t="s">
        <v>1327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4"/>
      <c r="F75" s="146" t="str">
        <f t="shared" si="10"/>
        <v/>
      </c>
      <c r="G75" s="183"/>
      <c r="H75" s="183"/>
      <c r="I75" s="183"/>
      <c r="J75" s="199"/>
      <c r="K75" s="198"/>
      <c r="L75" s="198"/>
      <c r="M75" s="199"/>
      <c r="N75" s="199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926</v>
      </c>
      <c r="X75" s="141" t="str">
        <f t="shared" si="13"/>
        <v>38</v>
      </c>
      <c r="Y75" s="141" t="str">
        <f t="shared" si="14"/>
        <v>382</v>
      </c>
      <c r="AA75" s="141" t="s">
        <v>1328</v>
      </c>
      <c r="AB75" s="141" t="s">
        <v>1329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4"/>
      <c r="F76" s="146" t="str">
        <f t="shared" si="10"/>
        <v/>
      </c>
      <c r="G76" s="183"/>
      <c r="H76" s="183"/>
      <c r="I76" s="183"/>
      <c r="J76" s="199"/>
      <c r="K76" s="198"/>
      <c r="L76" s="198"/>
      <c r="M76" s="199"/>
      <c r="N76" s="199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929</v>
      </c>
      <c r="X76" s="141" t="str">
        <f t="shared" si="13"/>
        <v>38</v>
      </c>
      <c r="Y76" s="141" t="str">
        <f t="shared" si="14"/>
        <v>383</v>
      </c>
      <c r="AA76" s="141" t="s">
        <v>1330</v>
      </c>
      <c r="AB76" s="141" t="s">
        <v>1331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4"/>
      <c r="F77" s="146" t="str">
        <f t="shared" si="10"/>
        <v/>
      </c>
      <c r="G77" s="183"/>
      <c r="H77" s="183"/>
      <c r="I77" s="183"/>
      <c r="J77" s="199"/>
      <c r="K77" s="198"/>
      <c r="L77" s="198"/>
      <c r="M77" s="199"/>
      <c r="N77" s="199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932</v>
      </c>
      <c r="X77" s="141" t="str">
        <f t="shared" si="13"/>
        <v>38</v>
      </c>
      <c r="Y77" s="141" t="str">
        <f t="shared" si="14"/>
        <v>383</v>
      </c>
      <c r="AA77" s="141" t="s">
        <v>1332</v>
      </c>
      <c r="AB77" s="141" t="s">
        <v>1333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4"/>
      <c r="F78" s="146" t="str">
        <f t="shared" si="10"/>
        <v/>
      </c>
      <c r="G78" s="183"/>
      <c r="H78" s="183"/>
      <c r="I78" s="183"/>
      <c r="J78" s="199"/>
      <c r="K78" s="198"/>
      <c r="L78" s="198"/>
      <c r="M78" s="199"/>
      <c r="N78" s="199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935</v>
      </c>
      <c r="X78" s="141" t="str">
        <f t="shared" si="13"/>
        <v>38</v>
      </c>
      <c r="Y78" s="141" t="str">
        <f t="shared" si="14"/>
        <v>383</v>
      </c>
      <c r="AA78" s="141" t="s">
        <v>1334</v>
      </c>
      <c r="AB78" s="141" t="s">
        <v>1335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4"/>
      <c r="F79" s="146" t="str">
        <f t="shared" si="10"/>
        <v/>
      </c>
      <c r="G79" s="183"/>
      <c r="H79" s="183"/>
      <c r="I79" s="183"/>
      <c r="J79" s="199"/>
      <c r="K79" s="198"/>
      <c r="L79" s="198"/>
      <c r="M79" s="199"/>
      <c r="N79" s="199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938</v>
      </c>
      <c r="X79" s="141" t="str">
        <f t="shared" si="13"/>
        <v>38</v>
      </c>
      <c r="Y79" s="141" t="str">
        <f t="shared" si="14"/>
        <v>383</v>
      </c>
      <c r="AA79" s="141" t="s">
        <v>1336</v>
      </c>
      <c r="AB79" s="141" t="s">
        <v>1337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4"/>
      <c r="F80" s="146" t="str">
        <f t="shared" si="10"/>
        <v/>
      </c>
      <c r="G80" s="183"/>
      <c r="H80" s="183"/>
      <c r="I80" s="183"/>
      <c r="J80" s="199"/>
      <c r="K80" s="198"/>
      <c r="L80" s="198"/>
      <c r="M80" s="199"/>
      <c r="N80" s="199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941</v>
      </c>
      <c r="X80" s="141" t="str">
        <f t="shared" si="13"/>
        <v>38</v>
      </c>
      <c r="Y80" s="141" t="str">
        <f t="shared" si="14"/>
        <v>383</v>
      </c>
      <c r="AA80" s="141" t="s">
        <v>1338</v>
      </c>
      <c r="AB80" s="141" t="s">
        <v>1339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4"/>
      <c r="F81" s="146" t="str">
        <f t="shared" si="10"/>
        <v/>
      </c>
      <c r="G81" s="183"/>
      <c r="H81" s="183"/>
      <c r="I81" s="183"/>
      <c r="J81" s="199"/>
      <c r="K81" s="198"/>
      <c r="L81" s="198"/>
      <c r="M81" s="199"/>
      <c r="N81" s="199"/>
      <c r="P81" s="141" t="str">
        <f t="shared" si="11"/>
        <v/>
      </c>
      <c r="Q81" s="141" t="str">
        <f t="shared" si="12"/>
        <v/>
      </c>
      <c r="U81" s="195">
        <v>3861</v>
      </c>
      <c r="V81" s="196" t="s">
        <v>944</v>
      </c>
      <c r="W81" s="195"/>
      <c r="X81" s="195" t="str">
        <f t="shared" si="13"/>
        <v>38</v>
      </c>
      <c r="Y81" s="195" t="str">
        <f t="shared" si="14"/>
        <v>386</v>
      </c>
      <c r="AA81" s="141" t="s">
        <v>1340</v>
      </c>
      <c r="AB81" s="141" t="s">
        <v>1341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4"/>
      <c r="F82" s="146" t="str">
        <f t="shared" si="10"/>
        <v/>
      </c>
      <c r="G82" s="183"/>
      <c r="H82" s="183"/>
      <c r="I82" s="183"/>
      <c r="J82" s="199"/>
      <c r="K82" s="198"/>
      <c r="L82" s="198"/>
      <c r="M82" s="199"/>
      <c r="N82" s="199"/>
      <c r="P82" s="141" t="str">
        <f t="shared" si="11"/>
        <v/>
      </c>
      <c r="Q82" s="141" t="str">
        <f t="shared" si="12"/>
        <v/>
      </c>
      <c r="U82" s="194">
        <v>3862</v>
      </c>
      <c r="V82" s="141" t="s">
        <v>947</v>
      </c>
      <c r="X82" s="141" t="str">
        <f t="shared" si="13"/>
        <v>38</v>
      </c>
      <c r="Y82" s="141" t="str">
        <f t="shared" si="14"/>
        <v>386</v>
      </c>
      <c r="AA82" s="141" t="s">
        <v>1342</v>
      </c>
      <c r="AB82" s="141" t="s">
        <v>1343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4"/>
      <c r="F83" s="146" t="str">
        <f t="shared" si="10"/>
        <v/>
      </c>
      <c r="G83" s="183"/>
      <c r="H83" s="183"/>
      <c r="I83" s="183"/>
      <c r="J83" s="199"/>
      <c r="K83" s="198"/>
      <c r="L83" s="198"/>
      <c r="M83" s="199"/>
      <c r="N83" s="199"/>
      <c r="P83" s="141" t="str">
        <f t="shared" si="11"/>
        <v/>
      </c>
      <c r="Q83" s="141" t="str">
        <f t="shared" si="12"/>
        <v/>
      </c>
      <c r="U83" s="194">
        <v>3863</v>
      </c>
      <c r="V83" s="141" t="s">
        <v>950</v>
      </c>
      <c r="X83" s="141" t="str">
        <f t="shared" si="13"/>
        <v>38</v>
      </c>
      <c r="Y83" s="141" t="str">
        <f t="shared" si="14"/>
        <v>386</v>
      </c>
      <c r="AA83" s="141" t="s">
        <v>1344</v>
      </c>
      <c r="AB83" s="141" t="s">
        <v>1345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4"/>
      <c r="F84" s="146" t="str">
        <f t="shared" si="10"/>
        <v/>
      </c>
      <c r="G84" s="183"/>
      <c r="H84" s="183"/>
      <c r="I84" s="183"/>
      <c r="J84" s="199"/>
      <c r="K84" s="198"/>
      <c r="L84" s="198"/>
      <c r="M84" s="199"/>
      <c r="N84" s="199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953</v>
      </c>
      <c r="X84" s="141" t="str">
        <f t="shared" si="13"/>
        <v>41</v>
      </c>
      <c r="Y84" s="141" t="str">
        <f t="shared" si="14"/>
        <v>411</v>
      </c>
      <c r="AA84" s="141" t="s">
        <v>1346</v>
      </c>
      <c r="AB84" s="141" t="s">
        <v>1347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4"/>
      <c r="F85" s="146" t="str">
        <f t="shared" si="10"/>
        <v/>
      </c>
      <c r="G85" s="183"/>
      <c r="H85" s="183"/>
      <c r="I85" s="183"/>
      <c r="J85" s="199"/>
      <c r="K85" s="198"/>
      <c r="L85" s="198"/>
      <c r="M85" s="199"/>
      <c r="N85" s="199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956</v>
      </c>
      <c r="X85" s="141" t="str">
        <f t="shared" si="13"/>
        <v>41</v>
      </c>
      <c r="Y85" s="141" t="str">
        <f t="shared" si="14"/>
        <v>411</v>
      </c>
      <c r="AA85" s="141" t="s">
        <v>1348</v>
      </c>
      <c r="AB85" s="141" t="s">
        <v>1349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4"/>
      <c r="F86" s="146" t="str">
        <f t="shared" si="10"/>
        <v/>
      </c>
      <c r="G86" s="183"/>
      <c r="H86" s="183"/>
      <c r="I86" s="183"/>
      <c r="J86" s="199"/>
      <c r="K86" s="198"/>
      <c r="L86" s="198"/>
      <c r="M86" s="199"/>
      <c r="N86" s="199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959</v>
      </c>
      <c r="X86" s="141" t="str">
        <f t="shared" si="13"/>
        <v>41</v>
      </c>
      <c r="Y86" s="141" t="str">
        <f t="shared" si="14"/>
        <v>412</v>
      </c>
      <c r="AA86" s="141" t="s">
        <v>1350</v>
      </c>
      <c r="AB86" s="141" t="s">
        <v>1351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4"/>
      <c r="F87" s="146" t="str">
        <f t="shared" si="10"/>
        <v/>
      </c>
      <c r="G87" s="183"/>
      <c r="H87" s="183"/>
      <c r="I87" s="183"/>
      <c r="J87" s="199"/>
      <c r="K87" s="198"/>
      <c r="L87" s="198"/>
      <c r="M87" s="199"/>
      <c r="N87" s="199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962</v>
      </c>
      <c r="X87" s="141" t="str">
        <f t="shared" si="13"/>
        <v>41</v>
      </c>
      <c r="Y87" s="141" t="str">
        <f t="shared" si="14"/>
        <v>412</v>
      </c>
      <c r="AA87" s="141" t="s">
        <v>1352</v>
      </c>
      <c r="AB87" s="141" t="s">
        <v>1353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4"/>
      <c r="F88" s="146" t="str">
        <f t="shared" si="10"/>
        <v/>
      </c>
      <c r="G88" s="183"/>
      <c r="H88" s="183"/>
      <c r="I88" s="183"/>
      <c r="J88" s="199"/>
      <c r="K88" s="198"/>
      <c r="L88" s="198"/>
      <c r="M88" s="199"/>
      <c r="N88" s="199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965</v>
      </c>
      <c r="X88" s="141" t="str">
        <f t="shared" si="13"/>
        <v>41</v>
      </c>
      <c r="Y88" s="141" t="str">
        <f t="shared" si="14"/>
        <v>412</v>
      </c>
      <c r="AA88" s="141" t="s">
        <v>1354</v>
      </c>
      <c r="AB88" s="141" t="s">
        <v>1355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4"/>
      <c r="F89" s="146" t="str">
        <f t="shared" si="10"/>
        <v/>
      </c>
      <c r="G89" s="183"/>
      <c r="H89" s="183"/>
      <c r="I89" s="183"/>
      <c r="J89" s="199"/>
      <c r="K89" s="198"/>
      <c r="L89" s="198"/>
      <c r="M89" s="199"/>
      <c r="N89" s="199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968</v>
      </c>
      <c r="X89" s="141" t="str">
        <f t="shared" si="13"/>
        <v>41</v>
      </c>
      <c r="Y89" s="141" t="str">
        <f t="shared" si="14"/>
        <v>412</v>
      </c>
      <c r="AA89" s="141" t="s">
        <v>1356</v>
      </c>
      <c r="AB89" s="141" t="s">
        <v>1357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4"/>
      <c r="F90" s="146" t="str">
        <f t="shared" si="10"/>
        <v/>
      </c>
      <c r="G90" s="183"/>
      <c r="H90" s="183"/>
      <c r="I90" s="183"/>
      <c r="J90" s="199"/>
      <c r="K90" s="198"/>
      <c r="L90" s="198"/>
      <c r="M90" s="199"/>
      <c r="N90" s="199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971</v>
      </c>
      <c r="X90" s="141" t="str">
        <f t="shared" si="13"/>
        <v>42</v>
      </c>
      <c r="Y90" s="141" t="str">
        <f t="shared" si="14"/>
        <v>421</v>
      </c>
      <c r="AA90" s="141" t="s">
        <v>1358</v>
      </c>
      <c r="AB90" s="141" t="s">
        <v>1359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4"/>
      <c r="F91" s="146" t="str">
        <f t="shared" si="10"/>
        <v/>
      </c>
      <c r="G91" s="183"/>
      <c r="H91" s="183"/>
      <c r="I91" s="183"/>
      <c r="J91" s="199"/>
      <c r="K91" s="198"/>
      <c r="L91" s="198"/>
      <c r="M91" s="199"/>
      <c r="N91" s="199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974</v>
      </c>
      <c r="X91" s="141" t="str">
        <f t="shared" si="13"/>
        <v>42</v>
      </c>
      <c r="Y91" s="141" t="str">
        <f t="shared" si="14"/>
        <v>421</v>
      </c>
      <c r="AA91" s="141" t="s">
        <v>1360</v>
      </c>
      <c r="AB91" s="141" t="s">
        <v>1361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4"/>
      <c r="F92" s="146" t="str">
        <f t="shared" si="10"/>
        <v/>
      </c>
      <c r="G92" s="183"/>
      <c r="H92" s="183"/>
      <c r="I92" s="183"/>
      <c r="J92" s="199"/>
      <c r="K92" s="198"/>
      <c r="L92" s="198"/>
      <c r="M92" s="199"/>
      <c r="N92" s="199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977</v>
      </c>
      <c r="X92" s="141" t="str">
        <f t="shared" si="13"/>
        <v>42</v>
      </c>
      <c r="Y92" s="141" t="str">
        <f t="shared" si="14"/>
        <v>421</v>
      </c>
      <c r="AA92" s="141" t="s">
        <v>1362</v>
      </c>
      <c r="AB92" s="141" t="s">
        <v>1363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4"/>
      <c r="F93" s="146" t="str">
        <f t="shared" si="10"/>
        <v/>
      </c>
      <c r="G93" s="183"/>
      <c r="H93" s="183"/>
      <c r="I93" s="183"/>
      <c r="J93" s="199"/>
      <c r="K93" s="198"/>
      <c r="L93" s="198"/>
      <c r="M93" s="199"/>
      <c r="N93" s="199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980</v>
      </c>
      <c r="X93" s="141" t="str">
        <f t="shared" si="13"/>
        <v>42</v>
      </c>
      <c r="Y93" s="141" t="str">
        <f t="shared" si="14"/>
        <v>421</v>
      </c>
      <c r="AA93" s="141" t="s">
        <v>1364</v>
      </c>
      <c r="AB93" s="141" t="s">
        <v>1365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4"/>
      <c r="F94" s="146" t="str">
        <f t="shared" si="10"/>
        <v/>
      </c>
      <c r="G94" s="183"/>
      <c r="H94" s="183"/>
      <c r="I94" s="183"/>
      <c r="J94" s="199"/>
      <c r="K94" s="198"/>
      <c r="L94" s="198"/>
      <c r="M94" s="199"/>
      <c r="N94" s="199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983</v>
      </c>
      <c r="X94" s="141" t="str">
        <f t="shared" si="13"/>
        <v>42</v>
      </c>
      <c r="Y94" s="141" t="str">
        <f t="shared" si="14"/>
        <v>422</v>
      </c>
      <c r="AA94" s="141" t="s">
        <v>1366</v>
      </c>
      <c r="AB94" s="141" t="s">
        <v>1367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4"/>
      <c r="F95" s="146" t="str">
        <f t="shared" si="10"/>
        <v/>
      </c>
      <c r="G95" s="183"/>
      <c r="H95" s="183"/>
      <c r="I95" s="183"/>
      <c r="J95" s="199"/>
      <c r="K95" s="198"/>
      <c r="L95" s="198"/>
      <c r="M95" s="199"/>
      <c r="N95" s="199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986</v>
      </c>
      <c r="X95" s="141" t="str">
        <f t="shared" si="13"/>
        <v>42</v>
      </c>
      <c r="Y95" s="141" t="str">
        <f t="shared" si="14"/>
        <v>422</v>
      </c>
      <c r="AA95" s="141" t="s">
        <v>1368</v>
      </c>
      <c r="AB95" s="141" t="s">
        <v>1369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4"/>
      <c r="F96" s="146" t="str">
        <f t="shared" si="10"/>
        <v/>
      </c>
      <c r="G96" s="183"/>
      <c r="H96" s="183"/>
      <c r="I96" s="183"/>
      <c r="J96" s="199"/>
      <c r="K96" s="198"/>
      <c r="L96" s="198"/>
      <c r="M96" s="199"/>
      <c r="N96" s="199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989</v>
      </c>
      <c r="X96" s="141" t="str">
        <f t="shared" si="13"/>
        <v>42</v>
      </c>
      <c r="Y96" s="141" t="str">
        <f t="shared" si="14"/>
        <v>422</v>
      </c>
      <c r="AA96" s="141" t="s">
        <v>1370</v>
      </c>
      <c r="AB96" s="141" t="s">
        <v>1371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4"/>
      <c r="F97" s="146" t="str">
        <f t="shared" si="10"/>
        <v/>
      </c>
      <c r="G97" s="183"/>
      <c r="H97" s="183"/>
      <c r="I97" s="183"/>
      <c r="J97" s="199"/>
      <c r="K97" s="198"/>
      <c r="L97" s="198"/>
      <c r="M97" s="199"/>
      <c r="N97" s="199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992</v>
      </c>
      <c r="X97" s="141" t="str">
        <f t="shared" si="13"/>
        <v>42</v>
      </c>
      <c r="Y97" s="141" t="str">
        <f t="shared" si="14"/>
        <v>422</v>
      </c>
      <c r="AA97" s="141" t="s">
        <v>1372</v>
      </c>
      <c r="AB97" s="141" t="s">
        <v>1373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4"/>
      <c r="F98" s="146" t="str">
        <f t="shared" si="10"/>
        <v/>
      </c>
      <c r="G98" s="183"/>
      <c r="H98" s="183"/>
      <c r="I98" s="183"/>
      <c r="J98" s="199"/>
      <c r="K98" s="198"/>
      <c r="L98" s="198"/>
      <c r="M98" s="199"/>
      <c r="N98" s="199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995</v>
      </c>
      <c r="X98" s="141" t="str">
        <f t="shared" si="13"/>
        <v>42</v>
      </c>
      <c r="Y98" s="141" t="str">
        <f t="shared" si="14"/>
        <v>422</v>
      </c>
      <c r="AA98" s="141" t="s">
        <v>1374</v>
      </c>
      <c r="AB98" s="141" t="s">
        <v>1375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4"/>
      <c r="F99" s="146" t="str">
        <f t="shared" si="10"/>
        <v/>
      </c>
      <c r="G99" s="183"/>
      <c r="H99" s="183"/>
      <c r="I99" s="183"/>
      <c r="J99" s="199"/>
      <c r="K99" s="198"/>
      <c r="L99" s="198"/>
      <c r="M99" s="199"/>
      <c r="N99" s="199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998</v>
      </c>
      <c r="X99" s="141" t="str">
        <f t="shared" si="13"/>
        <v>42</v>
      </c>
      <c r="Y99" s="141" t="str">
        <f t="shared" si="14"/>
        <v>422</v>
      </c>
      <c r="AA99" s="141" t="s">
        <v>1376</v>
      </c>
      <c r="AB99" s="141" t="s">
        <v>1377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4"/>
      <c r="F100" s="146" t="str">
        <f t="shared" si="10"/>
        <v/>
      </c>
      <c r="G100" s="183"/>
      <c r="H100" s="183"/>
      <c r="I100" s="183"/>
      <c r="J100" s="199"/>
      <c r="K100" s="198"/>
      <c r="L100" s="198"/>
      <c r="M100" s="199"/>
      <c r="N100" s="199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1001</v>
      </c>
      <c r="X100" s="141" t="str">
        <f t="shared" si="13"/>
        <v>42</v>
      </c>
      <c r="Y100" s="141" t="str">
        <f t="shared" si="14"/>
        <v>422</v>
      </c>
      <c r="AA100" s="141" t="s">
        <v>1378</v>
      </c>
      <c r="AB100" s="141" t="s">
        <v>1379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4"/>
      <c r="F101" s="146" t="str">
        <f t="shared" si="10"/>
        <v/>
      </c>
      <c r="G101" s="183"/>
      <c r="H101" s="183"/>
      <c r="I101" s="183"/>
      <c r="J101" s="199"/>
      <c r="K101" s="198"/>
      <c r="L101" s="198"/>
      <c r="M101" s="199"/>
      <c r="N101" s="199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1004</v>
      </c>
      <c r="X101" s="141" t="str">
        <f t="shared" si="13"/>
        <v>42</v>
      </c>
      <c r="Y101" s="141" t="str">
        <f t="shared" si="14"/>
        <v>423</v>
      </c>
      <c r="AA101" s="141" t="s">
        <v>1380</v>
      </c>
      <c r="AB101" s="141" t="s">
        <v>1381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4"/>
      <c r="F102" s="146" t="str">
        <f t="shared" si="10"/>
        <v/>
      </c>
      <c r="G102" s="183"/>
      <c r="H102" s="183"/>
      <c r="I102" s="183"/>
      <c r="J102" s="199"/>
      <c r="K102" s="198"/>
      <c r="L102" s="198"/>
      <c r="M102" s="199"/>
      <c r="N102" s="199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1007</v>
      </c>
      <c r="X102" s="141" t="str">
        <f t="shared" si="13"/>
        <v>42</v>
      </c>
      <c r="Y102" s="141" t="str">
        <f t="shared" si="14"/>
        <v>423</v>
      </c>
      <c r="AA102" s="141" t="s">
        <v>1382</v>
      </c>
      <c r="AB102" s="141" t="s">
        <v>1383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4"/>
      <c r="F103" s="146" t="str">
        <f t="shared" si="10"/>
        <v/>
      </c>
      <c r="G103" s="183"/>
      <c r="H103" s="183"/>
      <c r="I103" s="183"/>
      <c r="J103" s="199"/>
      <c r="K103" s="198"/>
      <c r="L103" s="198"/>
      <c r="M103" s="199"/>
      <c r="N103" s="199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1010</v>
      </c>
      <c r="X103" s="141" t="str">
        <f t="shared" si="13"/>
        <v>42</v>
      </c>
      <c r="Y103" s="141" t="str">
        <f t="shared" si="14"/>
        <v>424</v>
      </c>
      <c r="AA103" s="141" t="s">
        <v>1384</v>
      </c>
      <c r="AB103" s="141" t="s">
        <v>1385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4"/>
      <c r="F104" s="146" t="str">
        <f t="shared" si="10"/>
        <v/>
      </c>
      <c r="G104" s="183"/>
      <c r="H104" s="183"/>
      <c r="I104" s="183"/>
      <c r="J104" s="199"/>
      <c r="K104" s="198"/>
      <c r="L104" s="198"/>
      <c r="M104" s="199"/>
      <c r="N104" s="199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1013</v>
      </c>
      <c r="X104" s="141" t="str">
        <f t="shared" si="13"/>
        <v>42</v>
      </c>
      <c r="Y104" s="141" t="str">
        <f t="shared" si="14"/>
        <v>424</v>
      </c>
      <c r="AA104" s="141" t="s">
        <v>1386</v>
      </c>
      <c r="AB104" s="141" t="s">
        <v>1387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4"/>
      <c r="F105" s="146" t="str">
        <f t="shared" si="10"/>
        <v/>
      </c>
      <c r="G105" s="183"/>
      <c r="H105" s="183"/>
      <c r="I105" s="183"/>
      <c r="J105" s="199"/>
      <c r="K105" s="198"/>
      <c r="L105" s="198"/>
      <c r="M105" s="199"/>
      <c r="N105" s="199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1016</v>
      </c>
      <c r="X105" s="141" t="str">
        <f t="shared" si="13"/>
        <v>42</v>
      </c>
      <c r="Y105" s="141" t="str">
        <f t="shared" si="14"/>
        <v>424</v>
      </c>
      <c r="AA105" s="141" t="s">
        <v>1388</v>
      </c>
      <c r="AB105" s="141" t="s">
        <v>1389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4"/>
      <c r="F106" s="146" t="str">
        <f t="shared" si="10"/>
        <v/>
      </c>
      <c r="G106" s="183"/>
      <c r="H106" s="183"/>
      <c r="I106" s="183"/>
      <c r="J106" s="199"/>
      <c r="K106" s="198"/>
      <c r="L106" s="198"/>
      <c r="M106" s="199"/>
      <c r="N106" s="199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1019</v>
      </c>
      <c r="X106" s="141" t="str">
        <f t="shared" si="13"/>
        <v>42</v>
      </c>
      <c r="Y106" s="141" t="str">
        <f t="shared" si="14"/>
        <v>425</v>
      </c>
      <c r="AA106" s="141" t="s">
        <v>1390</v>
      </c>
      <c r="AB106" s="141" t="s">
        <v>1391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4"/>
      <c r="F107" s="146" t="str">
        <f t="shared" si="10"/>
        <v/>
      </c>
      <c r="G107" s="183"/>
      <c r="H107" s="183"/>
      <c r="I107" s="183"/>
      <c r="J107" s="199"/>
      <c r="K107" s="198"/>
      <c r="L107" s="198"/>
      <c r="M107" s="199"/>
      <c r="N107" s="199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1022</v>
      </c>
      <c r="X107" s="141" t="str">
        <f t="shared" si="13"/>
        <v>42</v>
      </c>
      <c r="Y107" s="141" t="str">
        <f t="shared" si="14"/>
        <v>425</v>
      </c>
      <c r="AA107" s="141" t="s">
        <v>1392</v>
      </c>
      <c r="AB107" s="141" t="s">
        <v>1393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4"/>
      <c r="F108" s="146" t="str">
        <f t="shared" si="10"/>
        <v/>
      </c>
      <c r="G108" s="183"/>
      <c r="H108" s="183"/>
      <c r="I108" s="183"/>
      <c r="J108" s="199"/>
      <c r="K108" s="198"/>
      <c r="L108" s="198"/>
      <c r="M108" s="199"/>
      <c r="N108" s="199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1025</v>
      </c>
      <c r="X108" s="141" t="str">
        <f t="shared" si="13"/>
        <v>42</v>
      </c>
      <c r="Y108" s="141" t="str">
        <f t="shared" si="14"/>
        <v>426</v>
      </c>
      <c r="AA108" s="141" t="s">
        <v>1394</v>
      </c>
      <c r="AB108" s="141" t="s">
        <v>1395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4"/>
      <c r="F109" s="146" t="str">
        <f t="shared" si="10"/>
        <v/>
      </c>
      <c r="G109" s="183"/>
      <c r="H109" s="183"/>
      <c r="I109" s="183"/>
      <c r="J109" s="199"/>
      <c r="K109" s="198"/>
      <c r="L109" s="198"/>
      <c r="M109" s="199"/>
      <c r="N109" s="199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1028</v>
      </c>
      <c r="X109" s="141" t="str">
        <f t="shared" si="13"/>
        <v>42</v>
      </c>
      <c r="Y109" s="141" t="str">
        <f t="shared" si="14"/>
        <v>426</v>
      </c>
      <c r="AA109" s="141" t="s">
        <v>1396</v>
      </c>
      <c r="AB109" s="141" t="s">
        <v>1397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4"/>
      <c r="F110" s="146" t="str">
        <f t="shared" si="10"/>
        <v/>
      </c>
      <c r="G110" s="183"/>
      <c r="H110" s="183"/>
      <c r="I110" s="183"/>
      <c r="J110" s="199"/>
      <c r="K110" s="198"/>
      <c r="L110" s="198"/>
      <c r="M110" s="199"/>
      <c r="N110" s="199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1031</v>
      </c>
      <c r="X110" s="141" t="str">
        <f t="shared" si="13"/>
        <v>42</v>
      </c>
      <c r="Y110" s="141" t="str">
        <f t="shared" si="14"/>
        <v>426</v>
      </c>
      <c r="AA110" s="141" t="s">
        <v>1398</v>
      </c>
      <c r="AB110" s="141" t="s">
        <v>1399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4"/>
      <c r="F111" s="146" t="str">
        <f t="shared" si="10"/>
        <v/>
      </c>
      <c r="G111" s="183"/>
      <c r="H111" s="183"/>
      <c r="I111" s="183"/>
      <c r="J111" s="199"/>
      <c r="K111" s="198"/>
      <c r="L111" s="198"/>
      <c r="M111" s="199"/>
      <c r="N111" s="199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1034</v>
      </c>
      <c r="X111" s="141" t="str">
        <f t="shared" si="13"/>
        <v>43</v>
      </c>
      <c r="Y111" s="141" t="str">
        <f t="shared" si="14"/>
        <v>431</v>
      </c>
      <c r="AA111" s="141" t="s">
        <v>1400</v>
      </c>
      <c r="AB111" s="141" t="s">
        <v>1401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4"/>
      <c r="F112" s="146" t="str">
        <f t="shared" si="10"/>
        <v/>
      </c>
      <c r="G112" s="183"/>
      <c r="H112" s="183"/>
      <c r="I112" s="183"/>
      <c r="J112" s="199"/>
      <c r="K112" s="198"/>
      <c r="L112" s="198"/>
      <c r="M112" s="199"/>
      <c r="N112" s="199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1037</v>
      </c>
      <c r="X112" s="141" t="str">
        <f t="shared" si="13"/>
        <v>44</v>
      </c>
      <c r="Y112" s="141" t="str">
        <f t="shared" si="14"/>
        <v>441</v>
      </c>
      <c r="AA112" s="141" t="s">
        <v>1402</v>
      </c>
      <c r="AB112" s="141" t="s">
        <v>1403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4"/>
      <c r="F113" s="146" t="str">
        <f t="shared" si="10"/>
        <v/>
      </c>
      <c r="G113" s="183"/>
      <c r="H113" s="183"/>
      <c r="I113" s="183"/>
      <c r="J113" s="199"/>
      <c r="K113" s="198"/>
      <c r="L113" s="198"/>
      <c r="M113" s="199"/>
      <c r="N113" s="199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1039</v>
      </c>
      <c r="X113" s="141" t="str">
        <f t="shared" si="13"/>
        <v>45</v>
      </c>
      <c r="Y113" s="141" t="str">
        <f t="shared" si="14"/>
        <v>451</v>
      </c>
      <c r="AA113" s="141" t="s">
        <v>1404</v>
      </c>
      <c r="AB113" s="141" t="s">
        <v>1405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4"/>
      <c r="F114" s="146" t="str">
        <f t="shared" si="10"/>
        <v/>
      </c>
      <c r="G114" s="183"/>
      <c r="H114" s="183"/>
      <c r="I114" s="183"/>
      <c r="J114" s="199"/>
      <c r="K114" s="198"/>
      <c r="L114" s="198"/>
      <c r="M114" s="199"/>
      <c r="N114" s="199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1042</v>
      </c>
      <c r="X114" s="141" t="str">
        <f t="shared" si="13"/>
        <v>45</v>
      </c>
      <c r="Y114" s="141" t="str">
        <f t="shared" si="14"/>
        <v>452</v>
      </c>
      <c r="AA114" s="141" t="s">
        <v>1406</v>
      </c>
      <c r="AB114" s="141" t="s">
        <v>1407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4"/>
      <c r="F115" s="146" t="str">
        <f t="shared" si="10"/>
        <v/>
      </c>
      <c r="G115" s="183"/>
      <c r="H115" s="183"/>
      <c r="I115" s="183"/>
      <c r="J115" s="199"/>
      <c r="K115" s="198"/>
      <c r="L115" s="198"/>
      <c r="M115" s="199"/>
      <c r="N115" s="199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1045</v>
      </c>
      <c r="X115" s="141" t="str">
        <f t="shared" si="13"/>
        <v>45</v>
      </c>
      <c r="Y115" s="141" t="str">
        <f t="shared" si="14"/>
        <v>453</v>
      </c>
      <c r="AA115" s="141" t="s">
        <v>1408</v>
      </c>
      <c r="AB115" s="141" t="s">
        <v>1409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4"/>
      <c r="F116" s="146" t="str">
        <f t="shared" si="10"/>
        <v/>
      </c>
      <c r="G116" s="183"/>
      <c r="H116" s="183"/>
      <c r="I116" s="183"/>
      <c r="J116" s="199"/>
      <c r="K116" s="198"/>
      <c r="L116" s="198"/>
      <c r="M116" s="199"/>
      <c r="N116" s="199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1048</v>
      </c>
      <c r="X116" s="141" t="str">
        <f t="shared" si="13"/>
        <v>45</v>
      </c>
      <c r="Y116" s="141" t="str">
        <f t="shared" si="14"/>
        <v>454</v>
      </c>
      <c r="AA116" s="141" t="s">
        <v>1410</v>
      </c>
      <c r="AB116" s="141" t="s">
        <v>1411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4"/>
      <c r="F117" s="146" t="str">
        <f t="shared" si="10"/>
        <v/>
      </c>
      <c r="G117" s="183"/>
      <c r="H117" s="183"/>
      <c r="I117" s="183"/>
      <c r="J117" s="199"/>
      <c r="K117" s="198"/>
      <c r="L117" s="198"/>
      <c r="M117" s="199"/>
      <c r="N117" s="199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1051</v>
      </c>
      <c r="X117" s="141" t="str">
        <f t="shared" si="13"/>
        <v>51</v>
      </c>
      <c r="Y117" s="141" t="str">
        <f t="shared" si="14"/>
        <v>512</v>
      </c>
      <c r="AA117" s="141" t="s">
        <v>1412</v>
      </c>
      <c r="AB117" s="141" t="s">
        <v>1413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4"/>
      <c r="F118" s="146" t="str">
        <f t="shared" si="10"/>
        <v/>
      </c>
      <c r="G118" s="183"/>
      <c r="H118" s="183"/>
      <c r="I118" s="183"/>
      <c r="J118" s="199"/>
      <c r="K118" s="198"/>
      <c r="L118" s="198"/>
      <c r="M118" s="199"/>
      <c r="N118" s="199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1054</v>
      </c>
      <c r="X118" s="141" t="str">
        <f t="shared" si="13"/>
        <v>54</v>
      </c>
      <c r="Y118" s="141" t="str">
        <f t="shared" si="14"/>
        <v>544</v>
      </c>
      <c r="AA118" s="141" t="s">
        <v>1414</v>
      </c>
      <c r="AB118" s="141" t="s">
        <v>1415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4"/>
      <c r="F119" s="146" t="str">
        <f t="shared" si="10"/>
        <v/>
      </c>
      <c r="G119" s="183"/>
      <c r="H119" s="183"/>
      <c r="I119" s="183"/>
      <c r="J119" s="199"/>
      <c r="K119" s="198"/>
      <c r="L119" s="198"/>
      <c r="M119" s="199"/>
      <c r="N119" s="199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1057</v>
      </c>
      <c r="X119" s="141" t="str">
        <f t="shared" si="13"/>
        <v>51</v>
      </c>
      <c r="Y119" s="141" t="str">
        <f t="shared" si="14"/>
        <v>512</v>
      </c>
      <c r="AA119" s="141" t="s">
        <v>1416</v>
      </c>
      <c r="AB119" s="141" t="s">
        <v>1417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4"/>
      <c r="F120" s="146" t="str">
        <f t="shared" si="10"/>
        <v/>
      </c>
      <c r="G120" s="183"/>
      <c r="H120" s="183"/>
      <c r="I120" s="183"/>
      <c r="J120" s="199"/>
      <c r="K120" s="198"/>
      <c r="L120" s="198"/>
      <c r="M120" s="199"/>
      <c r="N120" s="199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1060</v>
      </c>
      <c r="X120" s="141" t="str">
        <f t="shared" si="13"/>
        <v>51</v>
      </c>
      <c r="Y120" s="141" t="str">
        <f t="shared" si="14"/>
        <v>512</v>
      </c>
      <c r="AA120" s="141" t="s">
        <v>1418</v>
      </c>
      <c r="AB120" s="141" t="s">
        <v>1419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4"/>
      <c r="F121" s="146" t="str">
        <f t="shared" si="10"/>
        <v/>
      </c>
      <c r="G121" s="183"/>
      <c r="H121" s="183"/>
      <c r="I121" s="183"/>
      <c r="J121" s="199"/>
      <c r="K121" s="198"/>
      <c r="L121" s="198"/>
      <c r="M121" s="199"/>
      <c r="N121" s="199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1063</v>
      </c>
      <c r="X121" s="141" t="str">
        <f t="shared" si="13"/>
        <v>51</v>
      </c>
      <c r="Y121" s="141" t="str">
        <f t="shared" si="14"/>
        <v>514</v>
      </c>
      <c r="AA121" s="141" t="s">
        <v>1420</v>
      </c>
      <c r="AB121" s="141" t="s">
        <v>1421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4"/>
      <c r="F122" s="146" t="str">
        <f t="shared" si="10"/>
        <v/>
      </c>
      <c r="G122" s="183"/>
      <c r="H122" s="183"/>
      <c r="I122" s="183"/>
      <c r="J122" s="199"/>
      <c r="K122" s="198"/>
      <c r="L122" s="198"/>
      <c r="M122" s="199"/>
      <c r="N122" s="199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1066</v>
      </c>
      <c r="X122" s="141" t="str">
        <f t="shared" si="13"/>
        <v>51</v>
      </c>
      <c r="Y122" s="141" t="str">
        <f t="shared" si="14"/>
        <v>518</v>
      </c>
      <c r="AA122" s="141" t="s">
        <v>1422</v>
      </c>
      <c r="AB122" s="141" t="s">
        <v>1423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4"/>
      <c r="F123" s="146" t="str">
        <f t="shared" si="10"/>
        <v/>
      </c>
      <c r="G123" s="183"/>
      <c r="H123" s="183"/>
      <c r="I123" s="183"/>
      <c r="J123" s="199"/>
      <c r="K123" s="198"/>
      <c r="L123" s="198"/>
      <c r="M123" s="199"/>
      <c r="N123" s="199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1069</v>
      </c>
      <c r="X123" s="141" t="str">
        <f t="shared" si="13"/>
        <v>51</v>
      </c>
      <c r="Y123" s="141" t="str">
        <f t="shared" si="14"/>
        <v>518</v>
      </c>
      <c r="AA123" s="141" t="s">
        <v>1424</v>
      </c>
      <c r="AB123" s="141" t="s">
        <v>1425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4"/>
      <c r="F124" s="146" t="str">
        <f t="shared" si="10"/>
        <v/>
      </c>
      <c r="G124" s="183"/>
      <c r="H124" s="183"/>
      <c r="I124" s="183"/>
      <c r="J124" s="199"/>
      <c r="K124" s="198"/>
      <c r="L124" s="198"/>
      <c r="M124" s="199"/>
      <c r="N124" s="199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1072</v>
      </c>
      <c r="X124" s="141" t="str">
        <f t="shared" si="13"/>
        <v>54</v>
      </c>
      <c r="Y124" s="141" t="str">
        <f t="shared" si="14"/>
        <v>542</v>
      </c>
      <c r="AA124" s="141" t="s">
        <v>1426</v>
      </c>
      <c r="AB124" s="141" t="s">
        <v>1427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4"/>
      <c r="F125" s="146" t="str">
        <f t="shared" si="10"/>
        <v/>
      </c>
      <c r="G125" s="183"/>
      <c r="H125" s="183"/>
      <c r="I125" s="183"/>
      <c r="J125" s="199"/>
      <c r="K125" s="198"/>
      <c r="L125" s="198"/>
      <c r="M125" s="199"/>
      <c r="N125" s="199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1075</v>
      </c>
      <c r="X125" s="141" t="str">
        <f t="shared" si="13"/>
        <v>54</v>
      </c>
      <c r="Y125" s="141" t="str">
        <f t="shared" si="14"/>
        <v>543</v>
      </c>
      <c r="AA125" s="141" t="s">
        <v>1428</v>
      </c>
      <c r="AB125" s="141" t="s">
        <v>1429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4"/>
      <c r="F126" s="146" t="str">
        <f t="shared" si="10"/>
        <v/>
      </c>
      <c r="G126" s="183"/>
      <c r="H126" s="183"/>
      <c r="I126" s="183"/>
      <c r="J126" s="199"/>
      <c r="K126" s="198"/>
      <c r="L126" s="198"/>
      <c r="M126" s="199"/>
      <c r="N126" s="199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1078</v>
      </c>
      <c r="X126" s="141" t="str">
        <f t="shared" si="13"/>
        <v>54</v>
      </c>
      <c r="Y126" s="141" t="str">
        <f t="shared" si="14"/>
        <v>544</v>
      </c>
      <c r="AA126" s="141" t="s">
        <v>1430</v>
      </c>
      <c r="AB126" s="141" t="s">
        <v>1431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4"/>
      <c r="F127" s="146" t="str">
        <f t="shared" si="10"/>
        <v/>
      </c>
      <c r="G127" s="183"/>
      <c r="H127" s="183"/>
      <c r="I127" s="183"/>
      <c r="J127" s="199"/>
      <c r="K127" s="198"/>
      <c r="L127" s="198"/>
      <c r="M127" s="199"/>
      <c r="N127" s="199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1081</v>
      </c>
      <c r="X127" s="141" t="str">
        <f t="shared" si="13"/>
        <v>54</v>
      </c>
      <c r="Y127" s="141" t="str">
        <f t="shared" si="14"/>
        <v>544</v>
      </c>
      <c r="AA127" s="141" t="s">
        <v>1432</v>
      </c>
      <c r="AB127" s="141" t="s">
        <v>1433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4"/>
      <c r="F128" s="146" t="str">
        <f t="shared" si="10"/>
        <v/>
      </c>
      <c r="G128" s="183"/>
      <c r="H128" s="183"/>
      <c r="I128" s="183"/>
      <c r="J128" s="199"/>
      <c r="K128" s="198"/>
      <c r="L128" s="198"/>
      <c r="M128" s="199"/>
      <c r="N128" s="199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1084</v>
      </c>
      <c r="X128" s="141" t="str">
        <f t="shared" si="13"/>
        <v>54</v>
      </c>
      <c r="Y128" s="141" t="str">
        <f t="shared" si="14"/>
        <v>545</v>
      </c>
      <c r="AA128" s="141" t="s">
        <v>1434</v>
      </c>
      <c r="AB128" s="141" t="s">
        <v>1435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4"/>
      <c r="F129" s="146" t="str">
        <f t="shared" si="10"/>
        <v/>
      </c>
      <c r="G129" s="183"/>
      <c r="H129" s="183"/>
      <c r="I129" s="183"/>
      <c r="J129" s="199"/>
      <c r="K129" s="198"/>
      <c r="L129" s="198"/>
      <c r="M129" s="199"/>
      <c r="N129" s="199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1087</v>
      </c>
      <c r="X129" s="141" t="str">
        <f t="shared" si="13"/>
        <v>54</v>
      </c>
      <c r="Y129" s="141" t="str">
        <f t="shared" si="14"/>
        <v>547</v>
      </c>
      <c r="AA129" s="141" t="s">
        <v>1436</v>
      </c>
      <c r="AB129" s="141" t="s">
        <v>1437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4"/>
      <c r="F130" s="146" t="str">
        <f t="shared" si="10"/>
        <v/>
      </c>
      <c r="G130" s="183"/>
      <c r="H130" s="183"/>
      <c r="I130" s="183"/>
      <c r="J130" s="199"/>
      <c r="K130" s="198"/>
      <c r="L130" s="198"/>
      <c r="M130" s="199"/>
      <c r="N130" s="199"/>
      <c r="P130" s="141" t="str">
        <f t="shared" si="11"/>
        <v/>
      </c>
      <c r="Q130" s="141" t="str">
        <f t="shared" si="12"/>
        <v/>
      </c>
      <c r="AA130" s="141" t="s">
        <v>1438</v>
      </c>
      <c r="AB130" s="141" t="s">
        <v>1439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4"/>
      <c r="F131" s="146" t="str">
        <f t="shared" si="10"/>
        <v/>
      </c>
      <c r="G131" s="183"/>
      <c r="H131" s="183"/>
      <c r="I131" s="183"/>
      <c r="J131" s="199"/>
      <c r="K131" s="198"/>
      <c r="L131" s="198"/>
      <c r="M131" s="199"/>
      <c r="N131" s="199"/>
      <c r="P131" s="141" t="str">
        <f t="shared" si="11"/>
        <v/>
      </c>
      <c r="Q131" s="141" t="str">
        <f t="shared" si="12"/>
        <v/>
      </c>
      <c r="AA131" s="141" t="s">
        <v>1440</v>
      </c>
      <c r="AB131" s="141" t="s">
        <v>1441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4"/>
      <c r="F132" s="146" t="str">
        <f t="shared" ref="F132:F195" si="17">IFERROR(VLOOKUP(E132,$AA$5:$AB$500,2,FALSE),"")</f>
        <v/>
      </c>
      <c r="G132" s="183"/>
      <c r="H132" s="183"/>
      <c r="I132" s="183"/>
      <c r="J132" s="199"/>
      <c r="K132" s="198"/>
      <c r="L132" s="198"/>
      <c r="M132" s="199"/>
      <c r="N132" s="199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1442</v>
      </c>
      <c r="AB132" s="141" t="s">
        <v>1443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4"/>
      <c r="F133" s="146" t="str">
        <f t="shared" si="17"/>
        <v/>
      </c>
      <c r="G133" s="183"/>
      <c r="H133" s="183"/>
      <c r="I133" s="183"/>
      <c r="J133" s="199"/>
      <c r="K133" s="198"/>
      <c r="L133" s="198"/>
      <c r="M133" s="199"/>
      <c r="N133" s="199"/>
      <c r="P133" s="141" t="str">
        <f t="shared" si="18"/>
        <v/>
      </c>
      <c r="Q133" s="141" t="str">
        <f t="shared" si="19"/>
        <v/>
      </c>
      <c r="AA133" s="141" t="s">
        <v>1444</v>
      </c>
      <c r="AB133" s="141" t="s">
        <v>1445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4"/>
      <c r="F134" s="146" t="str">
        <f t="shared" si="17"/>
        <v/>
      </c>
      <c r="G134" s="183"/>
      <c r="H134" s="183"/>
      <c r="I134" s="183"/>
      <c r="J134" s="199"/>
      <c r="K134" s="198"/>
      <c r="L134" s="198"/>
      <c r="M134" s="199"/>
      <c r="N134" s="199"/>
      <c r="P134" s="141" t="str">
        <f t="shared" si="18"/>
        <v/>
      </c>
      <c r="Q134" s="141" t="str">
        <f t="shared" si="19"/>
        <v/>
      </c>
      <c r="AA134" s="141" t="s">
        <v>1446</v>
      </c>
      <c r="AB134" s="141" t="s">
        <v>1447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4"/>
      <c r="F135" s="146" t="str">
        <f t="shared" si="17"/>
        <v/>
      </c>
      <c r="G135" s="183"/>
      <c r="H135" s="183"/>
      <c r="I135" s="183"/>
      <c r="J135" s="199"/>
      <c r="K135" s="198"/>
      <c r="L135" s="198"/>
      <c r="M135" s="199"/>
      <c r="N135" s="199"/>
      <c r="P135" s="141" t="str">
        <f t="shared" si="18"/>
        <v/>
      </c>
      <c r="Q135" s="141" t="str">
        <f t="shared" si="19"/>
        <v/>
      </c>
      <c r="AA135" s="141" t="s">
        <v>1448</v>
      </c>
      <c r="AB135" s="141" t="s">
        <v>1449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4"/>
      <c r="F136" s="146" t="str">
        <f t="shared" si="17"/>
        <v/>
      </c>
      <c r="G136" s="183"/>
      <c r="H136" s="183"/>
      <c r="I136" s="183"/>
      <c r="J136" s="199"/>
      <c r="K136" s="198"/>
      <c r="L136" s="198"/>
      <c r="M136" s="199"/>
      <c r="N136" s="199"/>
      <c r="P136" s="141" t="str">
        <f t="shared" si="18"/>
        <v/>
      </c>
      <c r="Q136" s="141" t="str">
        <f t="shared" si="19"/>
        <v/>
      </c>
      <c r="AA136" s="141" t="s">
        <v>1450</v>
      </c>
      <c r="AB136" s="141" t="s">
        <v>1451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4"/>
      <c r="F137" s="146" t="str">
        <f t="shared" si="17"/>
        <v/>
      </c>
      <c r="G137" s="183"/>
      <c r="H137" s="183"/>
      <c r="I137" s="183"/>
      <c r="J137" s="199"/>
      <c r="K137" s="198"/>
      <c r="L137" s="198"/>
      <c r="M137" s="199"/>
      <c r="N137" s="199"/>
      <c r="P137" s="141" t="str">
        <f t="shared" si="18"/>
        <v/>
      </c>
      <c r="Q137" s="141" t="str">
        <f t="shared" si="19"/>
        <v/>
      </c>
      <c r="AA137" s="141" t="s">
        <v>1452</v>
      </c>
      <c r="AB137" s="141" t="s">
        <v>1453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4"/>
      <c r="F138" s="146" t="str">
        <f t="shared" si="17"/>
        <v/>
      </c>
      <c r="G138" s="183"/>
      <c r="H138" s="183"/>
      <c r="I138" s="183"/>
      <c r="J138" s="199"/>
      <c r="K138" s="198"/>
      <c r="L138" s="198"/>
      <c r="M138" s="199"/>
      <c r="N138" s="199"/>
      <c r="P138" s="141" t="str">
        <f t="shared" si="18"/>
        <v/>
      </c>
      <c r="Q138" s="141" t="str">
        <f t="shared" si="19"/>
        <v/>
      </c>
      <c r="AA138" s="141" t="s">
        <v>1454</v>
      </c>
      <c r="AB138" s="141" t="s">
        <v>1455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4"/>
      <c r="F139" s="146" t="str">
        <f t="shared" si="17"/>
        <v/>
      </c>
      <c r="G139" s="183"/>
      <c r="H139" s="183"/>
      <c r="I139" s="183"/>
      <c r="J139" s="199"/>
      <c r="K139" s="198"/>
      <c r="L139" s="198"/>
      <c r="M139" s="199"/>
      <c r="N139" s="199"/>
      <c r="P139" s="141" t="str">
        <f t="shared" si="18"/>
        <v/>
      </c>
      <c r="Q139" s="141" t="str">
        <f t="shared" si="19"/>
        <v/>
      </c>
      <c r="AA139" s="141" t="s">
        <v>1456</v>
      </c>
      <c r="AB139" s="141" t="s">
        <v>1457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4"/>
      <c r="F140" s="146" t="str">
        <f t="shared" si="17"/>
        <v/>
      </c>
      <c r="G140" s="183"/>
      <c r="H140" s="183"/>
      <c r="I140" s="183"/>
      <c r="J140" s="199"/>
      <c r="K140" s="198"/>
      <c r="L140" s="198"/>
      <c r="M140" s="199"/>
      <c r="N140" s="199"/>
      <c r="P140" s="141" t="str">
        <f t="shared" si="18"/>
        <v/>
      </c>
      <c r="Q140" s="141" t="str">
        <f t="shared" si="19"/>
        <v/>
      </c>
      <c r="AA140" s="141" t="s">
        <v>1458</v>
      </c>
      <c r="AB140" s="141" t="s">
        <v>1459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4"/>
      <c r="F141" s="146" t="str">
        <f t="shared" si="17"/>
        <v/>
      </c>
      <c r="G141" s="183"/>
      <c r="H141" s="183"/>
      <c r="I141" s="183"/>
      <c r="J141" s="199"/>
      <c r="K141" s="198"/>
      <c r="L141" s="198"/>
      <c r="M141" s="199"/>
      <c r="N141" s="199"/>
      <c r="P141" s="141" t="str">
        <f t="shared" si="18"/>
        <v/>
      </c>
      <c r="Q141" s="141" t="str">
        <f t="shared" si="19"/>
        <v/>
      </c>
      <c r="AA141" s="141" t="s">
        <v>1460</v>
      </c>
      <c r="AB141" s="141" t="s">
        <v>1461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4"/>
      <c r="F142" s="146" t="str">
        <f t="shared" si="17"/>
        <v/>
      </c>
      <c r="G142" s="183"/>
      <c r="H142" s="183"/>
      <c r="I142" s="183"/>
      <c r="J142" s="199"/>
      <c r="K142" s="198"/>
      <c r="L142" s="198"/>
      <c r="M142" s="199"/>
      <c r="N142" s="199"/>
      <c r="P142" s="141" t="str">
        <f t="shared" si="18"/>
        <v/>
      </c>
      <c r="Q142" s="141" t="str">
        <f t="shared" si="19"/>
        <v/>
      </c>
      <c r="AA142" s="141" t="s">
        <v>1462</v>
      </c>
      <c r="AB142" s="141" t="s">
        <v>1463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4"/>
      <c r="F143" s="146" t="str">
        <f t="shared" si="17"/>
        <v/>
      </c>
      <c r="G143" s="183"/>
      <c r="H143" s="183"/>
      <c r="I143" s="183"/>
      <c r="J143" s="199"/>
      <c r="K143" s="198"/>
      <c r="L143" s="198"/>
      <c r="M143" s="199"/>
      <c r="N143" s="199"/>
      <c r="P143" s="141" t="str">
        <f t="shared" si="18"/>
        <v/>
      </c>
      <c r="Q143" s="141" t="str">
        <f t="shared" si="19"/>
        <v/>
      </c>
      <c r="AA143" s="141" t="s">
        <v>1464</v>
      </c>
      <c r="AB143" s="141" t="s">
        <v>1465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4"/>
      <c r="F144" s="146" t="str">
        <f t="shared" si="17"/>
        <v/>
      </c>
      <c r="G144" s="183"/>
      <c r="H144" s="183"/>
      <c r="I144" s="183"/>
      <c r="J144" s="199"/>
      <c r="K144" s="198"/>
      <c r="L144" s="198"/>
      <c r="M144" s="199"/>
      <c r="N144" s="199"/>
      <c r="P144" s="141" t="str">
        <f t="shared" si="18"/>
        <v/>
      </c>
      <c r="Q144" s="141" t="str">
        <f t="shared" si="19"/>
        <v/>
      </c>
      <c r="AA144" s="141" t="s">
        <v>1466</v>
      </c>
      <c r="AB144" s="141" t="s">
        <v>1467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4"/>
      <c r="F145" s="146" t="str">
        <f t="shared" si="17"/>
        <v/>
      </c>
      <c r="G145" s="183"/>
      <c r="H145" s="183"/>
      <c r="I145" s="183"/>
      <c r="J145" s="199"/>
      <c r="K145" s="198"/>
      <c r="L145" s="198"/>
      <c r="M145" s="199"/>
      <c r="N145" s="199"/>
      <c r="P145" s="141" t="str">
        <f t="shared" si="18"/>
        <v/>
      </c>
      <c r="Q145" s="141" t="str">
        <f t="shared" si="19"/>
        <v/>
      </c>
      <c r="AA145" s="141" t="s">
        <v>1468</v>
      </c>
      <c r="AB145" s="141" t="s">
        <v>1469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4"/>
      <c r="F146" s="146" t="str">
        <f t="shared" si="17"/>
        <v/>
      </c>
      <c r="G146" s="183"/>
      <c r="H146" s="183"/>
      <c r="I146" s="183"/>
      <c r="J146" s="199"/>
      <c r="K146" s="198"/>
      <c r="L146" s="198"/>
      <c r="M146" s="199"/>
      <c r="N146" s="199"/>
      <c r="P146" s="141" t="str">
        <f t="shared" si="18"/>
        <v/>
      </c>
      <c r="Q146" s="141" t="str">
        <f t="shared" si="19"/>
        <v/>
      </c>
      <c r="AA146" s="141" t="s">
        <v>1470</v>
      </c>
      <c r="AB146" s="141" t="s">
        <v>1471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4"/>
      <c r="F147" s="146" t="str">
        <f t="shared" si="17"/>
        <v/>
      </c>
      <c r="G147" s="183"/>
      <c r="H147" s="183"/>
      <c r="I147" s="183"/>
      <c r="J147" s="199"/>
      <c r="K147" s="198"/>
      <c r="L147" s="198"/>
      <c r="M147" s="199"/>
      <c r="N147" s="199"/>
      <c r="P147" s="141" t="str">
        <f t="shared" si="18"/>
        <v/>
      </c>
      <c r="Q147" s="141" t="str">
        <f t="shared" si="19"/>
        <v/>
      </c>
      <c r="AA147" s="141" t="s">
        <v>1472</v>
      </c>
      <c r="AB147" s="141" t="s">
        <v>1473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4"/>
      <c r="F148" s="146" t="str">
        <f t="shared" si="17"/>
        <v/>
      </c>
      <c r="G148" s="183"/>
      <c r="H148" s="183"/>
      <c r="I148" s="183"/>
      <c r="J148" s="199"/>
      <c r="K148" s="198"/>
      <c r="L148" s="198"/>
      <c r="M148" s="199"/>
      <c r="N148" s="199"/>
      <c r="P148" s="141" t="str">
        <f t="shared" si="18"/>
        <v/>
      </c>
      <c r="Q148" s="141" t="str">
        <f t="shared" si="19"/>
        <v/>
      </c>
      <c r="AA148" s="141" t="s">
        <v>1474</v>
      </c>
      <c r="AB148" s="141" t="s">
        <v>1475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4"/>
      <c r="F149" s="146" t="str">
        <f t="shared" si="17"/>
        <v/>
      </c>
      <c r="G149" s="183"/>
      <c r="H149" s="183"/>
      <c r="I149" s="183"/>
      <c r="J149" s="199"/>
      <c r="K149" s="198"/>
      <c r="L149" s="198"/>
      <c r="M149" s="199"/>
      <c r="N149" s="199"/>
      <c r="P149" s="141" t="str">
        <f t="shared" si="18"/>
        <v/>
      </c>
      <c r="Q149" s="141" t="str">
        <f t="shared" si="19"/>
        <v/>
      </c>
      <c r="AA149" s="141" t="s">
        <v>1476</v>
      </c>
      <c r="AB149" s="141" t="s">
        <v>1477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4"/>
      <c r="F150" s="146" t="str">
        <f t="shared" si="17"/>
        <v/>
      </c>
      <c r="G150" s="183"/>
      <c r="H150" s="183"/>
      <c r="I150" s="183"/>
      <c r="J150" s="199"/>
      <c r="K150" s="198"/>
      <c r="L150" s="198"/>
      <c r="M150" s="199"/>
      <c r="N150" s="199"/>
      <c r="P150" s="141" t="str">
        <f t="shared" si="18"/>
        <v/>
      </c>
      <c r="Q150" s="141" t="str">
        <f t="shared" si="19"/>
        <v/>
      </c>
      <c r="AA150" s="141" t="s">
        <v>1478</v>
      </c>
      <c r="AB150" s="141" t="s">
        <v>1479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4"/>
      <c r="F151" s="146" t="str">
        <f t="shared" si="17"/>
        <v/>
      </c>
      <c r="G151" s="183"/>
      <c r="H151" s="183"/>
      <c r="I151" s="183"/>
      <c r="J151" s="199"/>
      <c r="K151" s="198"/>
      <c r="L151" s="198"/>
      <c r="M151" s="199"/>
      <c r="N151" s="199"/>
      <c r="P151" s="141" t="str">
        <f t="shared" si="18"/>
        <v/>
      </c>
      <c r="Q151" s="141" t="str">
        <f t="shared" si="19"/>
        <v/>
      </c>
      <c r="AA151" s="141" t="s">
        <v>1480</v>
      </c>
      <c r="AB151" s="141" t="s">
        <v>1481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4"/>
      <c r="F152" s="146" t="str">
        <f t="shared" si="17"/>
        <v/>
      </c>
      <c r="G152" s="183"/>
      <c r="H152" s="183"/>
      <c r="I152" s="183"/>
      <c r="J152" s="199"/>
      <c r="K152" s="198"/>
      <c r="L152" s="198"/>
      <c r="M152" s="199"/>
      <c r="N152" s="199"/>
      <c r="P152" s="141" t="str">
        <f t="shared" si="18"/>
        <v/>
      </c>
      <c r="Q152" s="141" t="str">
        <f t="shared" si="19"/>
        <v/>
      </c>
      <c r="AA152" s="141" t="s">
        <v>1482</v>
      </c>
      <c r="AB152" s="141" t="s">
        <v>1483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4"/>
      <c r="F153" s="146" t="str">
        <f t="shared" si="17"/>
        <v/>
      </c>
      <c r="G153" s="183"/>
      <c r="H153" s="183"/>
      <c r="I153" s="183"/>
      <c r="J153" s="199"/>
      <c r="K153" s="198"/>
      <c r="L153" s="198"/>
      <c r="M153" s="199"/>
      <c r="N153" s="199"/>
      <c r="P153" s="141" t="str">
        <f t="shared" si="18"/>
        <v/>
      </c>
      <c r="Q153" s="141" t="str">
        <f t="shared" si="19"/>
        <v/>
      </c>
      <c r="AA153" s="141" t="s">
        <v>1484</v>
      </c>
      <c r="AB153" s="141" t="s">
        <v>1485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4"/>
      <c r="F154" s="146" t="str">
        <f t="shared" si="17"/>
        <v/>
      </c>
      <c r="G154" s="183"/>
      <c r="H154" s="183"/>
      <c r="I154" s="183"/>
      <c r="J154" s="199"/>
      <c r="K154" s="198"/>
      <c r="L154" s="198"/>
      <c r="M154" s="199"/>
      <c r="N154" s="199"/>
      <c r="P154" s="141" t="str">
        <f t="shared" si="18"/>
        <v/>
      </c>
      <c r="Q154" s="141" t="str">
        <f t="shared" si="19"/>
        <v/>
      </c>
      <c r="AA154" s="141" t="s">
        <v>1486</v>
      </c>
      <c r="AB154" s="141" t="s">
        <v>1487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4"/>
      <c r="F155" s="146" t="str">
        <f t="shared" si="17"/>
        <v/>
      </c>
      <c r="G155" s="183"/>
      <c r="H155" s="183"/>
      <c r="I155" s="183"/>
      <c r="J155" s="199"/>
      <c r="K155" s="198"/>
      <c r="L155" s="198"/>
      <c r="M155" s="199"/>
      <c r="N155" s="199"/>
      <c r="P155" s="141" t="str">
        <f t="shared" si="18"/>
        <v/>
      </c>
      <c r="Q155" s="141" t="str">
        <f t="shared" si="19"/>
        <v/>
      </c>
      <c r="AA155" s="141" t="s">
        <v>1488</v>
      </c>
      <c r="AB155" s="141" t="s">
        <v>1489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4"/>
      <c r="F156" s="146" t="str">
        <f t="shared" si="17"/>
        <v/>
      </c>
      <c r="G156" s="183"/>
      <c r="H156" s="183"/>
      <c r="I156" s="183"/>
      <c r="J156" s="199"/>
      <c r="K156" s="198"/>
      <c r="L156" s="198"/>
      <c r="M156" s="199"/>
      <c r="N156" s="199"/>
      <c r="P156" s="141" t="str">
        <f t="shared" si="18"/>
        <v/>
      </c>
      <c r="Q156" s="141" t="str">
        <f t="shared" si="19"/>
        <v/>
      </c>
      <c r="AA156" s="141" t="s">
        <v>1490</v>
      </c>
      <c r="AB156" s="141" t="s">
        <v>1491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4"/>
      <c r="F157" s="146" t="str">
        <f t="shared" si="17"/>
        <v/>
      </c>
      <c r="G157" s="183"/>
      <c r="H157" s="183"/>
      <c r="I157" s="183"/>
      <c r="J157" s="199"/>
      <c r="K157" s="198"/>
      <c r="L157" s="198"/>
      <c r="M157" s="199"/>
      <c r="N157" s="199"/>
      <c r="P157" s="141" t="str">
        <f t="shared" si="18"/>
        <v/>
      </c>
      <c r="Q157" s="141" t="str">
        <f t="shared" si="19"/>
        <v/>
      </c>
      <c r="AA157" s="141" t="s">
        <v>1492</v>
      </c>
      <c r="AB157" s="141" t="s">
        <v>1493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4"/>
      <c r="F158" s="146" t="str">
        <f t="shared" si="17"/>
        <v/>
      </c>
      <c r="G158" s="183"/>
      <c r="H158" s="183"/>
      <c r="I158" s="183"/>
      <c r="J158" s="199"/>
      <c r="K158" s="198"/>
      <c r="L158" s="198"/>
      <c r="M158" s="199"/>
      <c r="N158" s="199"/>
      <c r="P158" s="141" t="str">
        <f t="shared" si="18"/>
        <v/>
      </c>
      <c r="Q158" s="141" t="str">
        <f t="shared" si="19"/>
        <v/>
      </c>
      <c r="AA158" s="141" t="s">
        <v>1494</v>
      </c>
      <c r="AB158" s="141" t="s">
        <v>1495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4"/>
      <c r="F159" s="146" t="str">
        <f t="shared" si="17"/>
        <v/>
      </c>
      <c r="G159" s="183"/>
      <c r="H159" s="183"/>
      <c r="I159" s="183"/>
      <c r="J159" s="199"/>
      <c r="K159" s="198"/>
      <c r="L159" s="198"/>
      <c r="M159" s="199"/>
      <c r="N159" s="199"/>
      <c r="P159" s="141" t="str">
        <f t="shared" si="18"/>
        <v/>
      </c>
      <c r="Q159" s="141" t="str">
        <f t="shared" si="19"/>
        <v/>
      </c>
      <c r="AA159" s="141" t="s">
        <v>1496</v>
      </c>
      <c r="AB159" s="141" t="s">
        <v>1497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4"/>
      <c r="F160" s="146" t="str">
        <f t="shared" si="17"/>
        <v/>
      </c>
      <c r="G160" s="183"/>
      <c r="H160" s="183"/>
      <c r="I160" s="183"/>
      <c r="J160" s="199"/>
      <c r="K160" s="198"/>
      <c r="L160" s="198"/>
      <c r="M160" s="199"/>
      <c r="N160" s="199"/>
      <c r="P160" s="141" t="str">
        <f t="shared" si="18"/>
        <v/>
      </c>
      <c r="Q160" s="141" t="str">
        <f t="shared" si="19"/>
        <v/>
      </c>
      <c r="AA160" s="141" t="s">
        <v>1498</v>
      </c>
      <c r="AB160" s="141" t="s">
        <v>1499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4"/>
      <c r="F161" s="146" t="str">
        <f t="shared" si="17"/>
        <v/>
      </c>
      <c r="G161" s="183"/>
      <c r="H161" s="183"/>
      <c r="I161" s="183"/>
      <c r="J161" s="199"/>
      <c r="K161" s="198"/>
      <c r="L161" s="198"/>
      <c r="M161" s="199"/>
      <c r="N161" s="199"/>
      <c r="P161" s="141" t="str">
        <f t="shared" si="18"/>
        <v/>
      </c>
      <c r="Q161" s="141" t="str">
        <f t="shared" si="19"/>
        <v/>
      </c>
      <c r="AA161" s="141" t="s">
        <v>1500</v>
      </c>
      <c r="AB161" s="141" t="s">
        <v>1501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4"/>
      <c r="F162" s="146" t="str">
        <f t="shared" si="17"/>
        <v/>
      </c>
      <c r="G162" s="183"/>
      <c r="H162" s="183"/>
      <c r="I162" s="183"/>
      <c r="J162" s="199"/>
      <c r="K162" s="198"/>
      <c r="L162" s="198"/>
      <c r="M162" s="199"/>
      <c r="N162" s="199"/>
      <c r="P162" s="141" t="str">
        <f t="shared" si="18"/>
        <v/>
      </c>
      <c r="Q162" s="141" t="str">
        <f t="shared" si="19"/>
        <v/>
      </c>
      <c r="AA162" s="141" t="s">
        <v>1502</v>
      </c>
      <c r="AB162" s="141" t="s">
        <v>1503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4"/>
      <c r="F163" s="146" t="str">
        <f t="shared" si="17"/>
        <v/>
      </c>
      <c r="G163" s="183"/>
      <c r="H163" s="183"/>
      <c r="I163" s="183"/>
      <c r="J163" s="199"/>
      <c r="K163" s="198"/>
      <c r="L163" s="198"/>
      <c r="M163" s="199"/>
      <c r="N163" s="199"/>
      <c r="P163" s="141" t="str">
        <f t="shared" si="18"/>
        <v/>
      </c>
      <c r="Q163" s="141" t="str">
        <f t="shared" si="19"/>
        <v/>
      </c>
      <c r="AA163" s="141" t="s">
        <v>1504</v>
      </c>
      <c r="AB163" s="141" t="s">
        <v>1505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4"/>
      <c r="F164" s="146" t="str">
        <f t="shared" si="17"/>
        <v/>
      </c>
      <c r="G164" s="183"/>
      <c r="H164" s="183"/>
      <c r="I164" s="183"/>
      <c r="J164" s="199"/>
      <c r="K164" s="198"/>
      <c r="L164" s="198"/>
      <c r="M164" s="199"/>
      <c r="N164" s="199"/>
      <c r="P164" s="141" t="str">
        <f t="shared" si="18"/>
        <v/>
      </c>
      <c r="Q164" s="141" t="str">
        <f t="shared" si="19"/>
        <v/>
      </c>
      <c r="AA164" s="141" t="s">
        <v>1506</v>
      </c>
      <c r="AB164" s="141" t="s">
        <v>1507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4"/>
      <c r="F165" s="146" t="str">
        <f t="shared" si="17"/>
        <v/>
      </c>
      <c r="G165" s="183"/>
      <c r="H165" s="183"/>
      <c r="I165" s="183"/>
      <c r="J165" s="199"/>
      <c r="K165" s="198"/>
      <c r="L165" s="198"/>
      <c r="M165" s="199"/>
      <c r="N165" s="199"/>
      <c r="P165" s="141" t="str">
        <f t="shared" si="18"/>
        <v/>
      </c>
      <c r="Q165" s="141" t="str">
        <f t="shared" si="19"/>
        <v/>
      </c>
      <c r="AA165" s="141" t="s">
        <v>1508</v>
      </c>
      <c r="AB165" s="141" t="s">
        <v>1509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4"/>
      <c r="F166" s="146" t="str">
        <f t="shared" si="17"/>
        <v/>
      </c>
      <c r="G166" s="183"/>
      <c r="H166" s="183"/>
      <c r="I166" s="183"/>
      <c r="J166" s="199"/>
      <c r="K166" s="198"/>
      <c r="L166" s="198"/>
      <c r="M166" s="199"/>
      <c r="N166" s="199"/>
      <c r="P166" s="141" t="str">
        <f t="shared" si="18"/>
        <v/>
      </c>
      <c r="Q166" s="141" t="str">
        <f t="shared" si="19"/>
        <v/>
      </c>
      <c r="AA166" s="141" t="s">
        <v>1510</v>
      </c>
      <c r="AB166" s="141" t="s">
        <v>1511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4"/>
      <c r="F167" s="146" t="str">
        <f t="shared" si="17"/>
        <v/>
      </c>
      <c r="G167" s="183"/>
      <c r="H167" s="183"/>
      <c r="I167" s="183"/>
      <c r="J167" s="199"/>
      <c r="K167" s="198"/>
      <c r="L167" s="198"/>
      <c r="M167" s="199"/>
      <c r="N167" s="199"/>
      <c r="P167" s="141" t="str">
        <f t="shared" si="18"/>
        <v/>
      </c>
      <c r="Q167" s="141" t="str">
        <f t="shared" si="19"/>
        <v/>
      </c>
      <c r="AA167" s="141" t="s">
        <v>1512</v>
      </c>
      <c r="AB167" s="141" t="s">
        <v>1513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4"/>
      <c r="F168" s="146" t="str">
        <f t="shared" si="17"/>
        <v/>
      </c>
      <c r="G168" s="183"/>
      <c r="H168" s="183"/>
      <c r="I168" s="183"/>
      <c r="J168" s="199"/>
      <c r="K168" s="198"/>
      <c r="L168" s="198"/>
      <c r="M168" s="199"/>
      <c r="N168" s="199"/>
      <c r="P168" s="141" t="str">
        <f t="shared" si="18"/>
        <v/>
      </c>
      <c r="Q168" s="141" t="str">
        <f t="shared" si="19"/>
        <v/>
      </c>
      <c r="AA168" s="141" t="s">
        <v>1514</v>
      </c>
      <c r="AB168" s="141" t="s">
        <v>1515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4"/>
      <c r="F169" s="146" t="str">
        <f t="shared" si="17"/>
        <v/>
      </c>
      <c r="G169" s="183"/>
      <c r="H169" s="183"/>
      <c r="I169" s="183"/>
      <c r="J169" s="199"/>
      <c r="K169" s="198"/>
      <c r="L169" s="198"/>
      <c r="M169" s="199"/>
      <c r="N169" s="199"/>
      <c r="P169" s="141" t="str">
        <f t="shared" si="18"/>
        <v/>
      </c>
      <c r="Q169" s="141" t="str">
        <f t="shared" si="19"/>
        <v/>
      </c>
      <c r="AA169" s="141" t="s">
        <v>1516</v>
      </c>
      <c r="AB169" s="141" t="s">
        <v>1517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4"/>
      <c r="F170" s="146" t="str">
        <f t="shared" si="17"/>
        <v/>
      </c>
      <c r="G170" s="183"/>
      <c r="H170" s="183"/>
      <c r="I170" s="183"/>
      <c r="J170" s="199"/>
      <c r="K170" s="198"/>
      <c r="L170" s="198"/>
      <c r="M170" s="199"/>
      <c r="N170" s="199"/>
      <c r="P170" s="141" t="str">
        <f t="shared" si="18"/>
        <v/>
      </c>
      <c r="Q170" s="141" t="str">
        <f t="shared" si="19"/>
        <v/>
      </c>
      <c r="AA170" s="141" t="s">
        <v>1518</v>
      </c>
      <c r="AB170" s="141" t="s">
        <v>1519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4"/>
      <c r="F171" s="146" t="str">
        <f t="shared" si="17"/>
        <v/>
      </c>
      <c r="G171" s="183"/>
      <c r="H171" s="183"/>
      <c r="I171" s="183"/>
      <c r="J171" s="199"/>
      <c r="K171" s="198"/>
      <c r="L171" s="198"/>
      <c r="M171" s="199"/>
      <c r="N171" s="199"/>
      <c r="P171" s="141" t="str">
        <f t="shared" si="18"/>
        <v/>
      </c>
      <c r="Q171" s="141" t="str">
        <f t="shared" si="19"/>
        <v/>
      </c>
      <c r="AA171" s="141" t="s">
        <v>1520</v>
      </c>
      <c r="AB171" s="141" t="s">
        <v>1521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4"/>
      <c r="F172" s="146" t="str">
        <f t="shared" si="17"/>
        <v/>
      </c>
      <c r="G172" s="183"/>
      <c r="H172" s="183"/>
      <c r="I172" s="183"/>
      <c r="J172" s="199"/>
      <c r="K172" s="198"/>
      <c r="L172" s="198"/>
      <c r="M172" s="199"/>
      <c r="N172" s="199"/>
      <c r="P172" s="141" t="str">
        <f t="shared" si="18"/>
        <v/>
      </c>
      <c r="Q172" s="141" t="str">
        <f t="shared" si="19"/>
        <v/>
      </c>
      <c r="AA172" s="141" t="s">
        <v>1522</v>
      </c>
      <c r="AB172" s="141" t="s">
        <v>1523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4"/>
      <c r="F173" s="146" t="str">
        <f t="shared" si="17"/>
        <v/>
      </c>
      <c r="G173" s="183"/>
      <c r="H173" s="183"/>
      <c r="I173" s="183"/>
      <c r="J173" s="199"/>
      <c r="K173" s="198"/>
      <c r="L173" s="198"/>
      <c r="M173" s="199"/>
      <c r="N173" s="199"/>
      <c r="P173" s="141" t="str">
        <f t="shared" si="18"/>
        <v/>
      </c>
      <c r="Q173" s="141" t="str">
        <f t="shared" si="19"/>
        <v/>
      </c>
      <c r="AA173" s="141" t="s">
        <v>1524</v>
      </c>
      <c r="AB173" s="141" t="s">
        <v>1525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4"/>
      <c r="F174" s="146" t="str">
        <f t="shared" si="17"/>
        <v/>
      </c>
      <c r="G174" s="183"/>
      <c r="H174" s="183"/>
      <c r="I174" s="183"/>
      <c r="J174" s="199"/>
      <c r="K174" s="198"/>
      <c r="L174" s="198"/>
      <c r="M174" s="199"/>
      <c r="N174" s="199"/>
      <c r="P174" s="141" t="str">
        <f t="shared" si="18"/>
        <v/>
      </c>
      <c r="Q174" s="141" t="str">
        <f t="shared" si="19"/>
        <v/>
      </c>
      <c r="AA174" s="141" t="s">
        <v>1526</v>
      </c>
      <c r="AB174" s="141" t="s">
        <v>1527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4"/>
      <c r="F175" s="146" t="str">
        <f t="shared" si="17"/>
        <v/>
      </c>
      <c r="G175" s="183"/>
      <c r="H175" s="183"/>
      <c r="I175" s="183"/>
      <c r="J175" s="199"/>
      <c r="K175" s="198"/>
      <c r="L175" s="198"/>
      <c r="M175" s="199"/>
      <c r="N175" s="199"/>
      <c r="P175" s="141" t="str">
        <f t="shared" si="18"/>
        <v/>
      </c>
      <c r="Q175" s="141" t="str">
        <f t="shared" si="19"/>
        <v/>
      </c>
      <c r="AA175" s="141" t="s">
        <v>1528</v>
      </c>
      <c r="AB175" s="141" t="s">
        <v>1529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4"/>
      <c r="F176" s="146" t="str">
        <f t="shared" si="17"/>
        <v/>
      </c>
      <c r="G176" s="183"/>
      <c r="H176" s="183"/>
      <c r="I176" s="183"/>
      <c r="J176" s="199"/>
      <c r="K176" s="198"/>
      <c r="L176" s="198"/>
      <c r="M176" s="199"/>
      <c r="N176" s="199"/>
      <c r="P176" s="141" t="str">
        <f t="shared" si="18"/>
        <v/>
      </c>
      <c r="Q176" s="141" t="str">
        <f t="shared" si="19"/>
        <v/>
      </c>
      <c r="AA176" s="141" t="s">
        <v>1530</v>
      </c>
      <c r="AB176" s="141" t="s">
        <v>1531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4"/>
      <c r="F177" s="146" t="str">
        <f t="shared" si="17"/>
        <v/>
      </c>
      <c r="G177" s="183"/>
      <c r="H177" s="183"/>
      <c r="I177" s="183"/>
      <c r="J177" s="199"/>
      <c r="K177" s="198"/>
      <c r="L177" s="198"/>
      <c r="M177" s="199"/>
      <c r="N177" s="199"/>
      <c r="P177" s="141" t="str">
        <f t="shared" si="18"/>
        <v/>
      </c>
      <c r="Q177" s="141" t="str">
        <f t="shared" si="19"/>
        <v/>
      </c>
      <c r="AA177" s="141" t="s">
        <v>1532</v>
      </c>
      <c r="AB177" s="141" t="s">
        <v>1533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4"/>
      <c r="F178" s="146" t="str">
        <f t="shared" si="17"/>
        <v/>
      </c>
      <c r="G178" s="183"/>
      <c r="H178" s="183"/>
      <c r="I178" s="183"/>
      <c r="J178" s="199"/>
      <c r="K178" s="198"/>
      <c r="L178" s="198"/>
      <c r="M178" s="199"/>
      <c r="N178" s="199"/>
      <c r="P178" s="141" t="str">
        <f t="shared" si="18"/>
        <v/>
      </c>
      <c r="Q178" s="141" t="str">
        <f t="shared" si="19"/>
        <v/>
      </c>
      <c r="AA178" s="141" t="s">
        <v>1534</v>
      </c>
      <c r="AB178" s="141" t="s">
        <v>1535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4"/>
      <c r="F179" s="146" t="str">
        <f t="shared" si="17"/>
        <v/>
      </c>
      <c r="G179" s="183"/>
      <c r="H179" s="183"/>
      <c r="I179" s="183"/>
      <c r="J179" s="199"/>
      <c r="K179" s="198"/>
      <c r="L179" s="198"/>
      <c r="M179" s="199"/>
      <c r="N179" s="199"/>
      <c r="P179" s="141" t="str">
        <f t="shared" si="18"/>
        <v/>
      </c>
      <c r="Q179" s="141" t="str">
        <f t="shared" si="19"/>
        <v/>
      </c>
      <c r="AA179" s="141" t="s">
        <v>1536</v>
      </c>
      <c r="AB179" s="141" t="s">
        <v>1537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4"/>
      <c r="F180" s="146" t="str">
        <f t="shared" si="17"/>
        <v/>
      </c>
      <c r="G180" s="183"/>
      <c r="H180" s="183"/>
      <c r="I180" s="183"/>
      <c r="J180" s="199"/>
      <c r="K180" s="198"/>
      <c r="L180" s="198"/>
      <c r="M180" s="199"/>
      <c r="N180" s="199"/>
      <c r="P180" s="141" t="str">
        <f t="shared" si="18"/>
        <v/>
      </c>
      <c r="Q180" s="141" t="str">
        <f t="shared" si="19"/>
        <v/>
      </c>
      <c r="AA180" s="141" t="s">
        <v>1538</v>
      </c>
      <c r="AB180" s="141" t="s">
        <v>1539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4"/>
      <c r="F181" s="146" t="str">
        <f t="shared" si="17"/>
        <v/>
      </c>
      <c r="G181" s="183"/>
      <c r="H181" s="183"/>
      <c r="I181" s="183"/>
      <c r="J181" s="199"/>
      <c r="K181" s="198"/>
      <c r="L181" s="198"/>
      <c r="M181" s="199"/>
      <c r="N181" s="199"/>
      <c r="P181" s="141" t="str">
        <f t="shared" si="18"/>
        <v/>
      </c>
      <c r="Q181" s="141" t="str">
        <f t="shared" si="19"/>
        <v/>
      </c>
      <c r="AA181" s="141" t="s">
        <v>1540</v>
      </c>
      <c r="AB181" s="141" t="s">
        <v>1541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4"/>
      <c r="F182" s="146" t="str">
        <f t="shared" si="17"/>
        <v/>
      </c>
      <c r="G182" s="183"/>
      <c r="H182" s="183"/>
      <c r="I182" s="183"/>
      <c r="J182" s="199"/>
      <c r="K182" s="198"/>
      <c r="L182" s="198"/>
      <c r="M182" s="199"/>
      <c r="N182" s="199"/>
      <c r="P182" s="141" t="str">
        <f t="shared" si="18"/>
        <v/>
      </c>
      <c r="Q182" s="141" t="str">
        <f t="shared" si="19"/>
        <v/>
      </c>
      <c r="AA182" s="141" t="s">
        <v>1542</v>
      </c>
      <c r="AB182" s="141" t="s">
        <v>1543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4"/>
      <c r="F183" s="146" t="str">
        <f t="shared" si="17"/>
        <v/>
      </c>
      <c r="G183" s="183"/>
      <c r="H183" s="183"/>
      <c r="I183" s="183"/>
      <c r="J183" s="199"/>
      <c r="K183" s="198"/>
      <c r="L183" s="198"/>
      <c r="M183" s="199"/>
      <c r="N183" s="199"/>
      <c r="P183" s="141" t="str">
        <f t="shared" si="18"/>
        <v/>
      </c>
      <c r="Q183" s="141" t="str">
        <f t="shared" si="19"/>
        <v/>
      </c>
      <c r="AA183" s="141" t="s">
        <v>1544</v>
      </c>
      <c r="AB183" s="141" t="s">
        <v>1545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4"/>
      <c r="F184" s="146" t="str">
        <f t="shared" si="17"/>
        <v/>
      </c>
      <c r="G184" s="183"/>
      <c r="H184" s="183"/>
      <c r="I184" s="183"/>
      <c r="J184" s="199"/>
      <c r="K184" s="198"/>
      <c r="L184" s="198"/>
      <c r="M184" s="199"/>
      <c r="N184" s="199"/>
      <c r="P184" s="141" t="str">
        <f t="shared" si="18"/>
        <v/>
      </c>
      <c r="Q184" s="141" t="str">
        <f t="shared" si="19"/>
        <v/>
      </c>
      <c r="AA184" s="141" t="s">
        <v>1546</v>
      </c>
      <c r="AB184" s="141" t="s">
        <v>1547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4"/>
      <c r="F185" s="146" t="str">
        <f t="shared" si="17"/>
        <v/>
      </c>
      <c r="G185" s="183"/>
      <c r="H185" s="183"/>
      <c r="I185" s="183"/>
      <c r="J185" s="199"/>
      <c r="K185" s="198"/>
      <c r="L185" s="198"/>
      <c r="M185" s="199"/>
      <c r="N185" s="199"/>
      <c r="P185" s="141" t="str">
        <f t="shared" si="18"/>
        <v/>
      </c>
      <c r="Q185" s="141" t="str">
        <f t="shared" si="19"/>
        <v/>
      </c>
      <c r="AA185" s="141" t="s">
        <v>1548</v>
      </c>
      <c r="AB185" s="141" t="s">
        <v>1547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4"/>
      <c r="F186" s="146" t="str">
        <f t="shared" si="17"/>
        <v/>
      </c>
      <c r="G186" s="183"/>
      <c r="H186" s="183"/>
      <c r="I186" s="183"/>
      <c r="J186" s="199"/>
      <c r="K186" s="198"/>
      <c r="L186" s="198"/>
      <c r="M186" s="199"/>
      <c r="N186" s="199"/>
      <c r="P186" s="141" t="str">
        <f t="shared" si="18"/>
        <v/>
      </c>
      <c r="Q186" s="141" t="str">
        <f t="shared" si="19"/>
        <v/>
      </c>
      <c r="AA186" s="141" t="s">
        <v>1549</v>
      </c>
      <c r="AB186" s="141" t="s">
        <v>1550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4"/>
      <c r="F187" s="146" t="str">
        <f t="shared" si="17"/>
        <v/>
      </c>
      <c r="G187" s="183"/>
      <c r="H187" s="183"/>
      <c r="I187" s="183"/>
      <c r="J187" s="199"/>
      <c r="K187" s="198"/>
      <c r="L187" s="198"/>
      <c r="M187" s="199"/>
      <c r="N187" s="199"/>
      <c r="P187" s="141" t="str">
        <f t="shared" si="18"/>
        <v/>
      </c>
      <c r="Q187" s="141" t="str">
        <f t="shared" si="19"/>
        <v/>
      </c>
      <c r="AA187" s="141" t="s">
        <v>1551</v>
      </c>
      <c r="AB187" s="141" t="s">
        <v>1552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4"/>
      <c r="F188" s="146" t="str">
        <f t="shared" si="17"/>
        <v/>
      </c>
      <c r="G188" s="183"/>
      <c r="H188" s="183"/>
      <c r="I188" s="183"/>
      <c r="J188" s="199"/>
      <c r="K188" s="198"/>
      <c r="L188" s="198"/>
      <c r="M188" s="199"/>
      <c r="N188" s="199"/>
      <c r="P188" s="141" t="str">
        <f t="shared" si="18"/>
        <v/>
      </c>
      <c r="Q188" s="141" t="str">
        <f t="shared" si="19"/>
        <v/>
      </c>
      <c r="AA188" s="141" t="s">
        <v>1553</v>
      </c>
      <c r="AB188" s="141" t="s">
        <v>1550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4"/>
      <c r="F189" s="146" t="str">
        <f t="shared" si="17"/>
        <v/>
      </c>
      <c r="G189" s="183"/>
      <c r="H189" s="183"/>
      <c r="I189" s="183"/>
      <c r="J189" s="199"/>
      <c r="K189" s="198"/>
      <c r="L189" s="198"/>
      <c r="M189" s="199"/>
      <c r="N189" s="199"/>
      <c r="P189" s="141" t="str">
        <f t="shared" si="18"/>
        <v/>
      </c>
      <c r="Q189" s="141" t="str">
        <f t="shared" si="19"/>
        <v/>
      </c>
      <c r="AA189" s="141" t="s">
        <v>1554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4"/>
      <c r="F190" s="146" t="str">
        <f t="shared" si="17"/>
        <v/>
      </c>
      <c r="G190" s="183"/>
      <c r="H190" s="183"/>
      <c r="I190" s="183"/>
      <c r="J190" s="199"/>
      <c r="K190" s="198"/>
      <c r="L190" s="198"/>
      <c r="M190" s="199"/>
      <c r="N190" s="199"/>
      <c r="P190" s="141" t="str">
        <f t="shared" si="18"/>
        <v/>
      </c>
      <c r="Q190" s="141" t="str">
        <f t="shared" si="19"/>
        <v/>
      </c>
      <c r="AA190" s="141" t="s">
        <v>1555</v>
      </c>
      <c r="AB190" s="141" t="s">
        <v>1556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4"/>
      <c r="F191" s="146" t="str">
        <f t="shared" si="17"/>
        <v/>
      </c>
      <c r="G191" s="183"/>
      <c r="H191" s="183"/>
      <c r="I191" s="183"/>
      <c r="J191" s="199"/>
      <c r="K191" s="198"/>
      <c r="L191" s="198"/>
      <c r="M191" s="199"/>
      <c r="N191" s="199"/>
      <c r="P191" s="141" t="str">
        <f t="shared" si="18"/>
        <v/>
      </c>
      <c r="Q191" s="141" t="str">
        <f t="shared" si="19"/>
        <v/>
      </c>
      <c r="AA191" s="141" t="s">
        <v>1557</v>
      </c>
      <c r="AB191" s="141" t="s">
        <v>1558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4"/>
      <c r="F192" s="146" t="str">
        <f t="shared" si="17"/>
        <v/>
      </c>
      <c r="G192" s="183"/>
      <c r="H192" s="183"/>
      <c r="I192" s="183"/>
      <c r="J192" s="199"/>
      <c r="K192" s="198"/>
      <c r="L192" s="198"/>
      <c r="M192" s="199"/>
      <c r="N192" s="199"/>
      <c r="P192" s="141" t="str">
        <f t="shared" si="18"/>
        <v/>
      </c>
      <c r="Q192" s="141" t="str">
        <f t="shared" si="19"/>
        <v/>
      </c>
      <c r="AA192" s="141" t="s">
        <v>1559</v>
      </c>
      <c r="AB192" s="141" t="s">
        <v>1560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4"/>
      <c r="F193" s="146" t="str">
        <f t="shared" si="17"/>
        <v/>
      </c>
      <c r="G193" s="183"/>
      <c r="H193" s="183"/>
      <c r="I193" s="183"/>
      <c r="J193" s="199"/>
      <c r="K193" s="198"/>
      <c r="L193" s="198"/>
      <c r="M193" s="199"/>
      <c r="N193" s="199"/>
      <c r="P193" s="141" t="str">
        <f t="shared" si="18"/>
        <v/>
      </c>
      <c r="Q193" s="141" t="str">
        <f t="shared" si="19"/>
        <v/>
      </c>
      <c r="AA193" s="141" t="s">
        <v>1561</v>
      </c>
      <c r="AB193" s="141" t="s">
        <v>1562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4"/>
      <c r="F194" s="146" t="str">
        <f t="shared" si="17"/>
        <v/>
      </c>
      <c r="G194" s="183"/>
      <c r="H194" s="183"/>
      <c r="I194" s="183"/>
      <c r="J194" s="199"/>
      <c r="K194" s="198"/>
      <c r="L194" s="198"/>
      <c r="M194" s="199"/>
      <c r="N194" s="199"/>
      <c r="P194" s="141" t="str">
        <f t="shared" si="18"/>
        <v/>
      </c>
      <c r="Q194" s="141" t="str">
        <f t="shared" si="19"/>
        <v/>
      </c>
      <c r="AA194" s="141" t="s">
        <v>1563</v>
      </c>
      <c r="AB194" s="141" t="s">
        <v>1564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4"/>
      <c r="F195" s="146" t="str">
        <f t="shared" si="17"/>
        <v/>
      </c>
      <c r="G195" s="183"/>
      <c r="H195" s="183"/>
      <c r="I195" s="183"/>
      <c r="J195" s="199"/>
      <c r="K195" s="198"/>
      <c r="L195" s="198"/>
      <c r="M195" s="199"/>
      <c r="N195" s="199"/>
      <c r="P195" s="141" t="str">
        <f t="shared" si="18"/>
        <v/>
      </c>
      <c r="Q195" s="141" t="str">
        <f t="shared" si="19"/>
        <v/>
      </c>
      <c r="AA195" s="141" t="s">
        <v>1565</v>
      </c>
      <c r="AB195" s="141" t="s">
        <v>1566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4"/>
      <c r="F196" s="146" t="str">
        <f t="shared" ref="F196:F259" si="22">IFERROR(VLOOKUP(E196,$AA$5:$AB$500,2,FALSE),"")</f>
        <v/>
      </c>
      <c r="G196" s="183"/>
      <c r="H196" s="183"/>
      <c r="I196" s="183"/>
      <c r="J196" s="199"/>
      <c r="K196" s="198"/>
      <c r="L196" s="198"/>
      <c r="M196" s="199"/>
      <c r="N196" s="199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1567</v>
      </c>
      <c r="AB196" s="141" t="s">
        <v>1568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4"/>
      <c r="F197" s="146" t="str">
        <f t="shared" si="22"/>
        <v/>
      </c>
      <c r="G197" s="183"/>
      <c r="H197" s="183"/>
      <c r="I197" s="183"/>
      <c r="J197" s="199"/>
      <c r="K197" s="198"/>
      <c r="L197" s="198"/>
      <c r="M197" s="199"/>
      <c r="N197" s="199"/>
      <c r="P197" s="141" t="str">
        <f t="shared" si="23"/>
        <v/>
      </c>
      <c r="Q197" s="141" t="str">
        <f t="shared" si="24"/>
        <v/>
      </c>
      <c r="AA197" s="141" t="s">
        <v>1569</v>
      </c>
      <c r="AB197" s="141" t="s">
        <v>1570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4"/>
      <c r="F198" s="146" t="str">
        <f t="shared" si="22"/>
        <v/>
      </c>
      <c r="G198" s="183"/>
      <c r="H198" s="183"/>
      <c r="I198" s="183"/>
      <c r="J198" s="199"/>
      <c r="K198" s="198"/>
      <c r="L198" s="198"/>
      <c r="M198" s="199"/>
      <c r="N198" s="199"/>
      <c r="P198" s="141" t="str">
        <f t="shared" si="23"/>
        <v/>
      </c>
      <c r="Q198" s="141" t="str">
        <f t="shared" si="24"/>
        <v/>
      </c>
      <c r="AA198" s="141" t="s">
        <v>1571</v>
      </c>
      <c r="AB198" s="141" t="s">
        <v>1572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4"/>
      <c r="F199" s="146" t="str">
        <f t="shared" si="22"/>
        <v/>
      </c>
      <c r="G199" s="183"/>
      <c r="H199" s="183"/>
      <c r="I199" s="183"/>
      <c r="J199" s="199"/>
      <c r="K199" s="198"/>
      <c r="L199" s="198"/>
      <c r="M199" s="199"/>
      <c r="N199" s="199"/>
      <c r="P199" s="141" t="str">
        <f t="shared" si="23"/>
        <v/>
      </c>
      <c r="Q199" s="141" t="str">
        <f t="shared" si="24"/>
        <v/>
      </c>
      <c r="AA199" s="141" t="s">
        <v>1573</v>
      </c>
      <c r="AB199" s="141" t="s">
        <v>1574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4"/>
      <c r="F200" s="146" t="str">
        <f t="shared" si="22"/>
        <v/>
      </c>
      <c r="G200" s="183"/>
      <c r="H200" s="183"/>
      <c r="I200" s="183"/>
      <c r="J200" s="199"/>
      <c r="K200" s="198"/>
      <c r="L200" s="198"/>
      <c r="M200" s="199"/>
      <c r="N200" s="199"/>
      <c r="P200" s="141" t="str">
        <f t="shared" si="23"/>
        <v/>
      </c>
      <c r="Q200" s="141" t="str">
        <f t="shared" si="24"/>
        <v/>
      </c>
      <c r="AA200" s="141" t="s">
        <v>1575</v>
      </c>
      <c r="AB200" s="141" t="s">
        <v>1576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4"/>
      <c r="F201" s="146" t="str">
        <f t="shared" si="22"/>
        <v/>
      </c>
      <c r="G201" s="183"/>
      <c r="H201" s="183"/>
      <c r="I201" s="183"/>
      <c r="J201" s="199"/>
      <c r="K201" s="198"/>
      <c r="L201" s="198"/>
      <c r="M201" s="199"/>
      <c r="N201" s="199"/>
      <c r="P201" s="141" t="str">
        <f t="shared" si="23"/>
        <v/>
      </c>
      <c r="Q201" s="141" t="str">
        <f t="shared" si="24"/>
        <v/>
      </c>
      <c r="AA201" s="141" t="s">
        <v>1577</v>
      </c>
      <c r="AB201" s="141" t="s">
        <v>1578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4"/>
      <c r="F202" s="146" t="str">
        <f t="shared" si="22"/>
        <v/>
      </c>
      <c r="G202" s="183"/>
      <c r="H202" s="183"/>
      <c r="I202" s="183"/>
      <c r="J202" s="199"/>
      <c r="K202" s="198"/>
      <c r="L202" s="198"/>
      <c r="M202" s="199"/>
      <c r="N202" s="199"/>
      <c r="P202" s="141" t="str">
        <f t="shared" si="23"/>
        <v/>
      </c>
      <c r="Q202" s="141" t="str">
        <f t="shared" si="24"/>
        <v/>
      </c>
      <c r="AA202" s="141" t="s">
        <v>1579</v>
      </c>
      <c r="AB202" s="141" t="s">
        <v>1580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4"/>
      <c r="F203" s="146" t="str">
        <f t="shared" si="22"/>
        <v/>
      </c>
      <c r="G203" s="183"/>
      <c r="H203" s="183"/>
      <c r="I203" s="183"/>
      <c r="J203" s="199"/>
      <c r="K203" s="198"/>
      <c r="L203" s="198"/>
      <c r="M203" s="199"/>
      <c r="N203" s="199"/>
      <c r="P203" s="141" t="str">
        <f t="shared" si="23"/>
        <v/>
      </c>
      <c r="Q203" s="141" t="str">
        <f t="shared" si="24"/>
        <v/>
      </c>
      <c r="AA203" s="141" t="s">
        <v>1581</v>
      </c>
      <c r="AB203" s="141" t="s">
        <v>1582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4"/>
      <c r="F204" s="146" t="str">
        <f t="shared" si="22"/>
        <v/>
      </c>
      <c r="G204" s="183"/>
      <c r="H204" s="183"/>
      <c r="I204" s="183"/>
      <c r="J204" s="199"/>
      <c r="K204" s="198"/>
      <c r="L204" s="198"/>
      <c r="M204" s="199"/>
      <c r="N204" s="199"/>
      <c r="P204" s="141" t="str">
        <f t="shared" si="23"/>
        <v/>
      </c>
      <c r="Q204" s="141" t="str">
        <f t="shared" si="24"/>
        <v/>
      </c>
      <c r="AA204" s="141" t="s">
        <v>1583</v>
      </c>
      <c r="AB204" s="141" t="s">
        <v>1584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4"/>
      <c r="F205" s="146" t="str">
        <f t="shared" si="22"/>
        <v/>
      </c>
      <c r="G205" s="183"/>
      <c r="H205" s="183"/>
      <c r="I205" s="183"/>
      <c r="J205" s="199"/>
      <c r="K205" s="198"/>
      <c r="L205" s="198"/>
      <c r="M205" s="199"/>
      <c r="N205" s="199"/>
      <c r="P205" s="141" t="str">
        <f t="shared" si="23"/>
        <v/>
      </c>
      <c r="Q205" s="141" t="str">
        <f t="shared" si="24"/>
        <v/>
      </c>
      <c r="AA205" s="141" t="s">
        <v>1585</v>
      </c>
      <c r="AB205" s="141" t="s">
        <v>1586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4"/>
      <c r="F206" s="146" t="str">
        <f t="shared" si="22"/>
        <v/>
      </c>
      <c r="G206" s="183"/>
      <c r="H206" s="183"/>
      <c r="I206" s="183"/>
      <c r="J206" s="199"/>
      <c r="K206" s="198"/>
      <c r="L206" s="198"/>
      <c r="M206" s="199"/>
      <c r="N206" s="199"/>
      <c r="P206" s="141" t="str">
        <f t="shared" si="23"/>
        <v/>
      </c>
      <c r="Q206" s="141" t="str">
        <f t="shared" si="24"/>
        <v/>
      </c>
      <c r="AA206" s="141" t="s">
        <v>1587</v>
      </c>
      <c r="AB206" s="141" t="s">
        <v>1588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4"/>
      <c r="F207" s="146" t="str">
        <f t="shared" si="22"/>
        <v/>
      </c>
      <c r="G207" s="183"/>
      <c r="H207" s="183"/>
      <c r="I207" s="183"/>
      <c r="J207" s="199"/>
      <c r="K207" s="198"/>
      <c r="L207" s="198"/>
      <c r="M207" s="199"/>
      <c r="N207" s="199"/>
      <c r="P207" s="141" t="str">
        <f t="shared" si="23"/>
        <v/>
      </c>
      <c r="Q207" s="141" t="str">
        <f t="shared" si="24"/>
        <v/>
      </c>
      <c r="AA207" s="141" t="s">
        <v>1589</v>
      </c>
      <c r="AB207" s="141" t="s">
        <v>1590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4"/>
      <c r="F208" s="146" t="str">
        <f t="shared" si="22"/>
        <v/>
      </c>
      <c r="G208" s="183"/>
      <c r="H208" s="183"/>
      <c r="I208" s="183"/>
      <c r="J208" s="199"/>
      <c r="K208" s="198"/>
      <c r="L208" s="198"/>
      <c r="M208" s="199"/>
      <c r="N208" s="199"/>
      <c r="P208" s="141" t="str">
        <f t="shared" si="23"/>
        <v/>
      </c>
      <c r="Q208" s="141" t="str">
        <f t="shared" si="24"/>
        <v/>
      </c>
      <c r="AA208" s="141" t="s">
        <v>1591</v>
      </c>
      <c r="AB208" s="141" t="s">
        <v>1592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4"/>
      <c r="F209" s="146" t="str">
        <f t="shared" si="22"/>
        <v/>
      </c>
      <c r="G209" s="183"/>
      <c r="H209" s="183"/>
      <c r="I209" s="183"/>
      <c r="J209" s="199"/>
      <c r="K209" s="198"/>
      <c r="L209" s="198"/>
      <c r="M209" s="199"/>
      <c r="N209" s="199"/>
      <c r="P209" s="141" t="str">
        <f t="shared" si="23"/>
        <v/>
      </c>
      <c r="Q209" s="141" t="str">
        <f t="shared" si="24"/>
        <v/>
      </c>
      <c r="AA209" s="141" t="s">
        <v>1593</v>
      </c>
      <c r="AB209" s="141" t="s">
        <v>1594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4"/>
      <c r="F210" s="146" t="str">
        <f t="shared" si="22"/>
        <v/>
      </c>
      <c r="G210" s="183"/>
      <c r="H210" s="183"/>
      <c r="I210" s="183"/>
      <c r="J210" s="199"/>
      <c r="K210" s="198"/>
      <c r="L210" s="198"/>
      <c r="M210" s="199"/>
      <c r="N210" s="199"/>
      <c r="P210" s="141" t="str">
        <f t="shared" si="23"/>
        <v/>
      </c>
      <c r="Q210" s="141" t="str">
        <f t="shared" si="24"/>
        <v/>
      </c>
      <c r="AA210" s="141" t="s">
        <v>1595</v>
      </c>
      <c r="AB210" s="141" t="s">
        <v>1596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4"/>
      <c r="F211" s="146" t="str">
        <f t="shared" si="22"/>
        <v/>
      </c>
      <c r="G211" s="183"/>
      <c r="H211" s="183"/>
      <c r="I211" s="183"/>
      <c r="J211" s="199"/>
      <c r="K211" s="198"/>
      <c r="L211" s="198"/>
      <c r="M211" s="199"/>
      <c r="N211" s="199"/>
      <c r="P211" s="141" t="str">
        <f t="shared" si="23"/>
        <v/>
      </c>
      <c r="Q211" s="141" t="str">
        <f t="shared" si="24"/>
        <v/>
      </c>
      <c r="AA211" s="141" t="s">
        <v>1597</v>
      </c>
      <c r="AB211" s="141" t="s">
        <v>1598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4"/>
      <c r="F212" s="146" t="str">
        <f t="shared" si="22"/>
        <v/>
      </c>
      <c r="G212" s="183"/>
      <c r="H212" s="183"/>
      <c r="I212" s="183"/>
      <c r="J212" s="199"/>
      <c r="K212" s="198"/>
      <c r="L212" s="198"/>
      <c r="M212" s="199"/>
      <c r="N212" s="199"/>
      <c r="P212" s="141" t="str">
        <f t="shared" si="23"/>
        <v/>
      </c>
      <c r="Q212" s="141" t="str">
        <f t="shared" si="24"/>
        <v/>
      </c>
      <c r="AA212" s="141" t="s">
        <v>1599</v>
      </c>
      <c r="AB212" s="141" t="s">
        <v>1600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4"/>
      <c r="F213" s="146" t="str">
        <f t="shared" si="22"/>
        <v/>
      </c>
      <c r="G213" s="183"/>
      <c r="H213" s="183"/>
      <c r="I213" s="183"/>
      <c r="J213" s="199"/>
      <c r="K213" s="198"/>
      <c r="L213" s="198"/>
      <c r="M213" s="199"/>
      <c r="N213" s="199"/>
      <c r="P213" s="141" t="str">
        <f t="shared" si="23"/>
        <v/>
      </c>
      <c r="Q213" s="141" t="str">
        <f t="shared" si="24"/>
        <v/>
      </c>
      <c r="AA213" s="141" t="s">
        <v>1601</v>
      </c>
      <c r="AB213" s="141" t="s">
        <v>1602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4"/>
      <c r="F214" s="146" t="str">
        <f t="shared" si="22"/>
        <v/>
      </c>
      <c r="G214" s="183"/>
      <c r="H214" s="183"/>
      <c r="I214" s="183"/>
      <c r="J214" s="199"/>
      <c r="K214" s="198"/>
      <c r="L214" s="198"/>
      <c r="M214" s="199"/>
      <c r="N214" s="199"/>
      <c r="P214" s="141" t="str">
        <f t="shared" si="23"/>
        <v/>
      </c>
      <c r="Q214" s="141" t="str">
        <f t="shared" si="24"/>
        <v/>
      </c>
      <c r="AA214" s="141" t="s">
        <v>1603</v>
      </c>
      <c r="AB214" s="141" t="s">
        <v>1604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4"/>
      <c r="F215" s="146" t="str">
        <f t="shared" si="22"/>
        <v/>
      </c>
      <c r="G215" s="183"/>
      <c r="H215" s="183"/>
      <c r="I215" s="183"/>
      <c r="J215" s="199"/>
      <c r="K215" s="198"/>
      <c r="L215" s="198"/>
      <c r="M215" s="199"/>
      <c r="N215" s="199"/>
      <c r="P215" s="141" t="str">
        <f t="shared" si="23"/>
        <v/>
      </c>
      <c r="Q215" s="141" t="str">
        <f t="shared" si="24"/>
        <v/>
      </c>
      <c r="AA215" s="141" t="s">
        <v>1605</v>
      </c>
      <c r="AB215" s="141" t="s">
        <v>1606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4"/>
      <c r="F216" s="146" t="str">
        <f t="shared" si="22"/>
        <v/>
      </c>
      <c r="G216" s="183"/>
      <c r="H216" s="183"/>
      <c r="I216" s="183"/>
      <c r="J216" s="199"/>
      <c r="K216" s="198"/>
      <c r="L216" s="198"/>
      <c r="M216" s="199"/>
      <c r="N216" s="199"/>
      <c r="P216" s="141" t="str">
        <f t="shared" si="23"/>
        <v/>
      </c>
      <c r="Q216" s="141" t="str">
        <f t="shared" si="24"/>
        <v/>
      </c>
      <c r="AA216" s="141" t="s">
        <v>1607</v>
      </c>
      <c r="AB216" s="141" t="s">
        <v>1608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4"/>
      <c r="F217" s="146" t="str">
        <f t="shared" si="22"/>
        <v/>
      </c>
      <c r="G217" s="183"/>
      <c r="H217" s="183"/>
      <c r="I217" s="183"/>
      <c r="J217" s="199"/>
      <c r="K217" s="198"/>
      <c r="L217" s="198"/>
      <c r="M217" s="199"/>
      <c r="N217" s="199"/>
      <c r="P217" s="141" t="str">
        <f t="shared" si="23"/>
        <v/>
      </c>
      <c r="Q217" s="141" t="str">
        <f t="shared" si="24"/>
        <v/>
      </c>
      <c r="AA217" s="141" t="s">
        <v>1609</v>
      </c>
      <c r="AB217" s="141" t="s">
        <v>1610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4"/>
      <c r="F218" s="146" t="str">
        <f t="shared" si="22"/>
        <v/>
      </c>
      <c r="G218" s="183"/>
      <c r="H218" s="183"/>
      <c r="I218" s="183"/>
      <c r="J218" s="199"/>
      <c r="K218" s="198"/>
      <c r="L218" s="198"/>
      <c r="M218" s="199"/>
      <c r="N218" s="199"/>
      <c r="P218" s="141" t="str">
        <f t="shared" si="23"/>
        <v/>
      </c>
      <c r="Q218" s="141" t="str">
        <f t="shared" si="24"/>
        <v/>
      </c>
      <c r="AA218" s="141" t="s">
        <v>1611</v>
      </c>
      <c r="AB218" s="141" t="s">
        <v>1612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4"/>
      <c r="F219" s="146" t="str">
        <f t="shared" si="22"/>
        <v/>
      </c>
      <c r="G219" s="183"/>
      <c r="H219" s="183"/>
      <c r="I219" s="183"/>
      <c r="J219" s="199"/>
      <c r="K219" s="198"/>
      <c r="L219" s="198"/>
      <c r="M219" s="199"/>
      <c r="N219" s="199"/>
      <c r="P219" s="141" t="str">
        <f t="shared" si="23"/>
        <v/>
      </c>
      <c r="Q219" s="141" t="str">
        <f t="shared" si="24"/>
        <v/>
      </c>
      <c r="AA219" s="141" t="s">
        <v>1613</v>
      </c>
      <c r="AB219" s="141" t="s">
        <v>1614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4"/>
      <c r="F220" s="146" t="str">
        <f t="shared" si="22"/>
        <v/>
      </c>
      <c r="G220" s="183"/>
      <c r="H220" s="183"/>
      <c r="I220" s="183"/>
      <c r="J220" s="199"/>
      <c r="K220" s="198"/>
      <c r="L220" s="198"/>
      <c r="M220" s="199"/>
      <c r="N220" s="199"/>
      <c r="P220" s="141" t="str">
        <f t="shared" si="23"/>
        <v/>
      </c>
      <c r="Q220" s="141" t="str">
        <f t="shared" si="24"/>
        <v/>
      </c>
      <c r="AA220" s="141" t="s">
        <v>1615</v>
      </c>
      <c r="AB220" s="141" t="s">
        <v>1616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4"/>
      <c r="F221" s="146" t="str">
        <f t="shared" si="22"/>
        <v/>
      </c>
      <c r="G221" s="183"/>
      <c r="H221" s="183"/>
      <c r="I221" s="183"/>
      <c r="J221" s="199"/>
      <c r="K221" s="198"/>
      <c r="L221" s="198"/>
      <c r="M221" s="199"/>
      <c r="N221" s="199"/>
      <c r="P221" s="141" t="str">
        <f t="shared" si="23"/>
        <v/>
      </c>
      <c r="Q221" s="141" t="str">
        <f t="shared" si="24"/>
        <v/>
      </c>
      <c r="AA221" s="141" t="s">
        <v>1617</v>
      </c>
      <c r="AB221" s="141" t="s">
        <v>1618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4"/>
      <c r="F222" s="146" t="str">
        <f t="shared" si="22"/>
        <v/>
      </c>
      <c r="G222" s="183"/>
      <c r="H222" s="183"/>
      <c r="I222" s="183"/>
      <c r="J222" s="199"/>
      <c r="K222" s="198"/>
      <c r="L222" s="198"/>
      <c r="M222" s="199"/>
      <c r="N222" s="199"/>
      <c r="P222" s="141" t="str">
        <f t="shared" si="23"/>
        <v/>
      </c>
      <c r="Q222" s="141" t="str">
        <f t="shared" si="24"/>
        <v/>
      </c>
      <c r="AA222" s="141" t="s">
        <v>1619</v>
      </c>
      <c r="AB222" s="141" t="s">
        <v>1620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4"/>
      <c r="F223" s="146" t="str">
        <f t="shared" si="22"/>
        <v/>
      </c>
      <c r="G223" s="183"/>
      <c r="H223" s="183"/>
      <c r="I223" s="183"/>
      <c r="J223" s="199"/>
      <c r="K223" s="198"/>
      <c r="L223" s="198"/>
      <c r="M223" s="199"/>
      <c r="N223" s="199"/>
      <c r="P223" s="141" t="str">
        <f t="shared" si="23"/>
        <v/>
      </c>
      <c r="Q223" s="141" t="str">
        <f t="shared" si="24"/>
        <v/>
      </c>
      <c r="AA223" s="141" t="s">
        <v>1621</v>
      </c>
      <c r="AB223" s="141" t="s">
        <v>1622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4"/>
      <c r="F224" s="146" t="str">
        <f t="shared" si="22"/>
        <v/>
      </c>
      <c r="G224" s="183"/>
      <c r="H224" s="183"/>
      <c r="I224" s="183"/>
      <c r="J224" s="199"/>
      <c r="K224" s="198"/>
      <c r="L224" s="198"/>
      <c r="M224" s="199"/>
      <c r="N224" s="199"/>
      <c r="P224" s="141" t="str">
        <f t="shared" si="23"/>
        <v/>
      </c>
      <c r="Q224" s="141" t="str">
        <f t="shared" si="24"/>
        <v/>
      </c>
      <c r="AA224" s="141" t="s">
        <v>1623</v>
      </c>
      <c r="AB224" s="141" t="s">
        <v>1624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4"/>
      <c r="F225" s="146" t="str">
        <f t="shared" si="22"/>
        <v/>
      </c>
      <c r="G225" s="183"/>
      <c r="H225" s="183"/>
      <c r="I225" s="183"/>
      <c r="J225" s="199"/>
      <c r="K225" s="198"/>
      <c r="L225" s="198"/>
      <c r="M225" s="199"/>
      <c r="N225" s="199"/>
      <c r="P225" s="141" t="str">
        <f t="shared" si="23"/>
        <v/>
      </c>
      <c r="Q225" s="141" t="str">
        <f t="shared" si="24"/>
        <v/>
      </c>
      <c r="AA225" s="141" t="s">
        <v>1625</v>
      </c>
      <c r="AB225" s="141" t="s">
        <v>1626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4"/>
      <c r="F226" s="146" t="str">
        <f t="shared" si="22"/>
        <v/>
      </c>
      <c r="G226" s="183"/>
      <c r="H226" s="183"/>
      <c r="I226" s="183"/>
      <c r="J226" s="199"/>
      <c r="K226" s="198"/>
      <c r="L226" s="198"/>
      <c r="M226" s="199"/>
      <c r="N226" s="199"/>
      <c r="P226" s="141" t="str">
        <f t="shared" si="23"/>
        <v/>
      </c>
      <c r="Q226" s="141" t="str">
        <f t="shared" si="24"/>
        <v/>
      </c>
      <c r="AA226" s="141" t="s">
        <v>1627</v>
      </c>
      <c r="AB226" s="141" t="s">
        <v>1628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4"/>
      <c r="F227" s="146" t="str">
        <f t="shared" si="22"/>
        <v/>
      </c>
      <c r="G227" s="183"/>
      <c r="H227" s="183"/>
      <c r="I227" s="183"/>
      <c r="J227" s="199"/>
      <c r="K227" s="198"/>
      <c r="L227" s="198"/>
      <c r="M227" s="199"/>
      <c r="N227" s="199"/>
      <c r="P227" s="141" t="str">
        <f t="shared" si="23"/>
        <v/>
      </c>
      <c r="Q227" s="141" t="str">
        <f t="shared" si="24"/>
        <v/>
      </c>
      <c r="AA227" s="141" t="s">
        <v>1629</v>
      </c>
      <c r="AB227" s="141" t="s">
        <v>1630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4"/>
      <c r="F228" s="146" t="str">
        <f t="shared" si="22"/>
        <v/>
      </c>
      <c r="G228" s="183"/>
      <c r="H228" s="183"/>
      <c r="I228" s="183"/>
      <c r="J228" s="199"/>
      <c r="K228" s="198"/>
      <c r="L228" s="198"/>
      <c r="M228" s="199"/>
      <c r="N228" s="199"/>
      <c r="P228" s="141" t="str">
        <f t="shared" si="23"/>
        <v/>
      </c>
      <c r="Q228" s="141" t="str">
        <f t="shared" si="24"/>
        <v/>
      </c>
      <c r="AA228" s="141" t="s">
        <v>1631</v>
      </c>
      <c r="AB228" s="141" t="s">
        <v>1632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4"/>
      <c r="F229" s="146" t="str">
        <f t="shared" si="22"/>
        <v/>
      </c>
      <c r="G229" s="183"/>
      <c r="H229" s="183"/>
      <c r="I229" s="183"/>
      <c r="J229" s="199"/>
      <c r="K229" s="198"/>
      <c r="L229" s="198"/>
      <c r="M229" s="199"/>
      <c r="N229" s="199"/>
      <c r="P229" s="141" t="str">
        <f t="shared" si="23"/>
        <v/>
      </c>
      <c r="Q229" s="141" t="str">
        <f t="shared" si="24"/>
        <v/>
      </c>
      <c r="AA229" s="141" t="s">
        <v>1633</v>
      </c>
      <c r="AB229" s="141" t="s">
        <v>1634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4"/>
      <c r="F230" s="146" t="str">
        <f t="shared" si="22"/>
        <v/>
      </c>
      <c r="G230" s="183"/>
      <c r="H230" s="183"/>
      <c r="I230" s="183"/>
      <c r="J230" s="199"/>
      <c r="K230" s="198"/>
      <c r="L230" s="198"/>
      <c r="M230" s="199"/>
      <c r="N230" s="199"/>
      <c r="P230" s="141" t="str">
        <f t="shared" si="23"/>
        <v/>
      </c>
      <c r="Q230" s="141" t="str">
        <f t="shared" si="24"/>
        <v/>
      </c>
      <c r="AA230" s="141" t="s">
        <v>1635</v>
      </c>
      <c r="AB230" s="141" t="s">
        <v>1636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4"/>
      <c r="F231" s="146" t="str">
        <f t="shared" si="22"/>
        <v/>
      </c>
      <c r="G231" s="183"/>
      <c r="H231" s="183"/>
      <c r="I231" s="183"/>
      <c r="J231" s="199"/>
      <c r="K231" s="198"/>
      <c r="L231" s="198"/>
      <c r="M231" s="199"/>
      <c r="N231" s="199"/>
      <c r="P231" s="141" t="str">
        <f t="shared" si="23"/>
        <v/>
      </c>
      <c r="Q231" s="141" t="str">
        <f t="shared" si="24"/>
        <v/>
      </c>
      <c r="AA231" s="141" t="s">
        <v>1637</v>
      </c>
      <c r="AB231" s="141" t="s">
        <v>1638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4"/>
      <c r="F232" s="146" t="str">
        <f t="shared" si="22"/>
        <v/>
      </c>
      <c r="G232" s="183"/>
      <c r="H232" s="183"/>
      <c r="I232" s="183"/>
      <c r="J232" s="199"/>
      <c r="K232" s="198"/>
      <c r="L232" s="198"/>
      <c r="M232" s="199"/>
      <c r="N232" s="199"/>
      <c r="P232" s="141" t="str">
        <f t="shared" si="23"/>
        <v/>
      </c>
      <c r="Q232" s="141" t="str">
        <f t="shared" si="24"/>
        <v/>
      </c>
      <c r="AA232" s="141" t="s">
        <v>1639</v>
      </c>
      <c r="AB232" s="141" t="s">
        <v>1640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4"/>
      <c r="F233" s="146" t="str">
        <f t="shared" si="22"/>
        <v/>
      </c>
      <c r="G233" s="183"/>
      <c r="H233" s="183"/>
      <c r="I233" s="183"/>
      <c r="J233" s="199"/>
      <c r="K233" s="198"/>
      <c r="L233" s="198"/>
      <c r="M233" s="199"/>
      <c r="N233" s="199"/>
      <c r="P233" s="141" t="str">
        <f t="shared" si="23"/>
        <v/>
      </c>
      <c r="Q233" s="141" t="str">
        <f t="shared" si="24"/>
        <v/>
      </c>
      <c r="AA233" s="141" t="s">
        <v>1641</v>
      </c>
      <c r="AB233" s="141" t="s">
        <v>1642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4"/>
      <c r="F234" s="146" t="str">
        <f t="shared" si="22"/>
        <v/>
      </c>
      <c r="G234" s="183"/>
      <c r="H234" s="183"/>
      <c r="I234" s="183"/>
      <c r="J234" s="199"/>
      <c r="K234" s="198"/>
      <c r="L234" s="198"/>
      <c r="M234" s="199"/>
      <c r="N234" s="199"/>
      <c r="P234" s="141" t="str">
        <f t="shared" si="23"/>
        <v/>
      </c>
      <c r="Q234" s="141" t="str">
        <f t="shared" si="24"/>
        <v/>
      </c>
      <c r="AA234" s="141" t="s">
        <v>1643</v>
      </c>
      <c r="AB234" s="141" t="s">
        <v>1644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4"/>
      <c r="F235" s="146" t="str">
        <f t="shared" si="22"/>
        <v/>
      </c>
      <c r="G235" s="183"/>
      <c r="H235" s="183"/>
      <c r="I235" s="183"/>
      <c r="J235" s="199"/>
      <c r="K235" s="198"/>
      <c r="L235" s="198"/>
      <c r="M235" s="199"/>
      <c r="N235" s="199"/>
      <c r="P235" s="141" t="str">
        <f t="shared" si="23"/>
        <v/>
      </c>
      <c r="Q235" s="141" t="str">
        <f t="shared" si="24"/>
        <v/>
      </c>
      <c r="AA235" s="141" t="s">
        <v>1645</v>
      </c>
      <c r="AB235" s="141" t="s">
        <v>1646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4"/>
      <c r="F236" s="146" t="str">
        <f t="shared" si="22"/>
        <v/>
      </c>
      <c r="G236" s="183"/>
      <c r="H236" s="183"/>
      <c r="I236" s="183"/>
      <c r="J236" s="199"/>
      <c r="K236" s="198"/>
      <c r="L236" s="198"/>
      <c r="M236" s="199"/>
      <c r="N236" s="199"/>
      <c r="P236" s="141" t="str">
        <f t="shared" si="23"/>
        <v/>
      </c>
      <c r="Q236" s="141" t="str">
        <f t="shared" si="24"/>
        <v/>
      </c>
      <c r="AA236" s="141" t="s">
        <v>1647</v>
      </c>
      <c r="AB236" s="141" t="s">
        <v>1648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4"/>
      <c r="F237" s="146" t="str">
        <f t="shared" si="22"/>
        <v/>
      </c>
      <c r="G237" s="183"/>
      <c r="H237" s="183"/>
      <c r="I237" s="183"/>
      <c r="J237" s="199"/>
      <c r="K237" s="198"/>
      <c r="L237" s="198"/>
      <c r="M237" s="199"/>
      <c r="N237" s="199"/>
      <c r="P237" s="141" t="str">
        <f t="shared" si="23"/>
        <v/>
      </c>
      <c r="Q237" s="141" t="str">
        <f t="shared" si="24"/>
        <v/>
      </c>
      <c r="AA237" s="141" t="s">
        <v>1649</v>
      </c>
      <c r="AB237" s="141" t="s">
        <v>1650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4"/>
      <c r="F238" s="146" t="str">
        <f t="shared" si="22"/>
        <v/>
      </c>
      <c r="G238" s="183"/>
      <c r="H238" s="183"/>
      <c r="I238" s="183"/>
      <c r="J238" s="199"/>
      <c r="K238" s="198"/>
      <c r="L238" s="198"/>
      <c r="M238" s="199"/>
      <c r="N238" s="199"/>
      <c r="P238" s="141" t="str">
        <f t="shared" si="23"/>
        <v/>
      </c>
      <c r="Q238" s="141" t="str">
        <f t="shared" si="24"/>
        <v/>
      </c>
      <c r="AA238" s="141" t="s">
        <v>1651</v>
      </c>
      <c r="AB238" s="141" t="s">
        <v>1652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4"/>
      <c r="F239" s="146" t="str">
        <f t="shared" si="22"/>
        <v/>
      </c>
      <c r="G239" s="183"/>
      <c r="H239" s="183"/>
      <c r="I239" s="183"/>
      <c r="J239" s="199"/>
      <c r="K239" s="198"/>
      <c r="L239" s="198"/>
      <c r="M239" s="199"/>
      <c r="N239" s="199"/>
      <c r="P239" s="141" t="str">
        <f t="shared" si="23"/>
        <v/>
      </c>
      <c r="Q239" s="141" t="str">
        <f t="shared" si="24"/>
        <v/>
      </c>
      <c r="AA239" s="141" t="s">
        <v>1653</v>
      </c>
      <c r="AB239" s="141" t="s">
        <v>1654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4"/>
      <c r="F240" s="146" t="str">
        <f t="shared" si="22"/>
        <v/>
      </c>
      <c r="G240" s="183"/>
      <c r="H240" s="183"/>
      <c r="I240" s="183"/>
      <c r="J240" s="199"/>
      <c r="K240" s="198"/>
      <c r="L240" s="198"/>
      <c r="M240" s="199"/>
      <c r="N240" s="199"/>
      <c r="P240" s="141" t="str">
        <f t="shared" si="23"/>
        <v/>
      </c>
      <c r="Q240" s="141" t="str">
        <f t="shared" si="24"/>
        <v/>
      </c>
      <c r="AA240" s="141" t="s">
        <v>1655</v>
      </c>
      <c r="AB240" s="141" t="s">
        <v>1656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4"/>
      <c r="F241" s="146" t="str">
        <f t="shared" si="22"/>
        <v/>
      </c>
      <c r="G241" s="183"/>
      <c r="H241" s="183"/>
      <c r="I241" s="183"/>
      <c r="J241" s="199"/>
      <c r="K241" s="198"/>
      <c r="L241" s="198"/>
      <c r="M241" s="199"/>
      <c r="N241" s="199"/>
      <c r="P241" s="141" t="str">
        <f t="shared" si="23"/>
        <v/>
      </c>
      <c r="Q241" s="141" t="str">
        <f t="shared" si="24"/>
        <v/>
      </c>
      <c r="AA241" s="141" t="s">
        <v>1657</v>
      </c>
      <c r="AB241" s="141" t="s">
        <v>1658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4"/>
      <c r="F242" s="146" t="str">
        <f t="shared" si="22"/>
        <v/>
      </c>
      <c r="G242" s="183"/>
      <c r="H242" s="183"/>
      <c r="I242" s="183"/>
      <c r="J242" s="199"/>
      <c r="K242" s="198"/>
      <c r="L242" s="198"/>
      <c r="M242" s="199"/>
      <c r="N242" s="199"/>
      <c r="P242" s="141" t="str">
        <f t="shared" si="23"/>
        <v/>
      </c>
      <c r="Q242" s="141" t="str">
        <f t="shared" si="24"/>
        <v/>
      </c>
      <c r="AA242" s="141" t="s">
        <v>1659</v>
      </c>
      <c r="AB242" s="141" t="s">
        <v>1660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4"/>
      <c r="F243" s="146" t="str">
        <f t="shared" si="22"/>
        <v/>
      </c>
      <c r="G243" s="183"/>
      <c r="H243" s="183"/>
      <c r="I243" s="183"/>
      <c r="J243" s="199"/>
      <c r="K243" s="198"/>
      <c r="L243" s="198"/>
      <c r="M243" s="199"/>
      <c r="N243" s="199"/>
      <c r="P243" s="141" t="str">
        <f t="shared" si="23"/>
        <v/>
      </c>
      <c r="Q243" s="141" t="str">
        <f t="shared" si="24"/>
        <v/>
      </c>
      <c r="AA243" s="141" t="s">
        <v>1661</v>
      </c>
      <c r="AB243" s="141" t="s">
        <v>1662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4"/>
      <c r="F244" s="146" t="str">
        <f t="shared" si="22"/>
        <v/>
      </c>
      <c r="G244" s="183"/>
      <c r="H244" s="183"/>
      <c r="I244" s="183"/>
      <c r="J244" s="199"/>
      <c r="K244" s="198"/>
      <c r="L244" s="198"/>
      <c r="M244" s="199"/>
      <c r="N244" s="199"/>
      <c r="P244" s="141" t="str">
        <f t="shared" si="23"/>
        <v/>
      </c>
      <c r="Q244" s="141" t="str">
        <f t="shared" si="24"/>
        <v/>
      </c>
      <c r="AA244" s="141" t="s">
        <v>1663</v>
      </c>
      <c r="AB244" s="141" t="s">
        <v>1664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4"/>
      <c r="F245" s="146" t="str">
        <f t="shared" si="22"/>
        <v/>
      </c>
      <c r="G245" s="183"/>
      <c r="H245" s="183"/>
      <c r="I245" s="183"/>
      <c r="J245" s="199"/>
      <c r="K245" s="198"/>
      <c r="L245" s="198"/>
      <c r="M245" s="199"/>
      <c r="N245" s="199"/>
      <c r="P245" s="141" t="str">
        <f t="shared" si="23"/>
        <v/>
      </c>
      <c r="Q245" s="141" t="str">
        <f t="shared" si="24"/>
        <v/>
      </c>
      <c r="AA245" s="141" t="s">
        <v>1665</v>
      </c>
      <c r="AB245" s="141" t="s">
        <v>1666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4"/>
      <c r="F246" s="146" t="str">
        <f t="shared" si="22"/>
        <v/>
      </c>
      <c r="G246" s="183"/>
      <c r="H246" s="183"/>
      <c r="I246" s="183"/>
      <c r="J246" s="199"/>
      <c r="K246" s="198"/>
      <c r="L246" s="198"/>
      <c r="M246" s="199"/>
      <c r="N246" s="199"/>
      <c r="P246" s="141" t="str">
        <f t="shared" si="23"/>
        <v/>
      </c>
      <c r="Q246" s="141" t="str">
        <f t="shared" si="24"/>
        <v/>
      </c>
      <c r="AA246" s="141" t="s">
        <v>1667</v>
      </c>
      <c r="AB246" s="141" t="s">
        <v>1668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4"/>
      <c r="F247" s="146" t="str">
        <f t="shared" si="22"/>
        <v/>
      </c>
      <c r="G247" s="183"/>
      <c r="H247" s="183"/>
      <c r="I247" s="183"/>
      <c r="J247" s="199"/>
      <c r="K247" s="198"/>
      <c r="L247" s="198"/>
      <c r="M247" s="199"/>
      <c r="N247" s="199"/>
      <c r="P247" s="141" t="str">
        <f t="shared" si="23"/>
        <v/>
      </c>
      <c r="Q247" s="141" t="str">
        <f t="shared" si="24"/>
        <v/>
      </c>
      <c r="AA247" s="141" t="s">
        <v>1669</v>
      </c>
      <c r="AB247" s="141" t="s">
        <v>1670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4"/>
      <c r="F248" s="146" t="str">
        <f t="shared" si="22"/>
        <v/>
      </c>
      <c r="G248" s="183"/>
      <c r="H248" s="183"/>
      <c r="I248" s="183"/>
      <c r="J248" s="199"/>
      <c r="K248" s="198"/>
      <c r="L248" s="198"/>
      <c r="M248" s="199"/>
      <c r="N248" s="199"/>
      <c r="P248" s="141" t="str">
        <f t="shared" si="23"/>
        <v/>
      </c>
      <c r="Q248" s="141" t="str">
        <f t="shared" si="24"/>
        <v/>
      </c>
      <c r="AA248" s="141" t="s">
        <v>1671</v>
      </c>
      <c r="AB248" s="141" t="s">
        <v>1672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4"/>
      <c r="F249" s="146" t="str">
        <f t="shared" si="22"/>
        <v/>
      </c>
      <c r="G249" s="183"/>
      <c r="H249" s="183"/>
      <c r="I249" s="183"/>
      <c r="J249" s="199"/>
      <c r="K249" s="198"/>
      <c r="L249" s="198"/>
      <c r="M249" s="199"/>
      <c r="N249" s="199"/>
      <c r="P249" s="141" t="str">
        <f t="shared" si="23"/>
        <v/>
      </c>
      <c r="Q249" s="141" t="str">
        <f t="shared" si="24"/>
        <v/>
      </c>
      <c r="AA249" s="141" t="s">
        <v>1673</v>
      </c>
      <c r="AB249" s="141" t="s">
        <v>1674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4"/>
      <c r="F250" s="146" t="str">
        <f t="shared" si="22"/>
        <v/>
      </c>
      <c r="G250" s="183"/>
      <c r="H250" s="183"/>
      <c r="I250" s="183"/>
      <c r="J250" s="199"/>
      <c r="K250" s="198"/>
      <c r="L250" s="198"/>
      <c r="M250" s="199"/>
      <c r="N250" s="199"/>
      <c r="P250" s="141" t="str">
        <f t="shared" si="23"/>
        <v/>
      </c>
      <c r="Q250" s="141" t="str">
        <f t="shared" si="24"/>
        <v/>
      </c>
      <c r="AA250" s="141" t="s">
        <v>1675</v>
      </c>
      <c r="AB250" s="141" t="s">
        <v>1676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4"/>
      <c r="F251" s="146" t="str">
        <f t="shared" si="22"/>
        <v/>
      </c>
      <c r="G251" s="183"/>
      <c r="H251" s="183"/>
      <c r="I251" s="183"/>
      <c r="J251" s="199"/>
      <c r="K251" s="198"/>
      <c r="L251" s="198"/>
      <c r="M251" s="199"/>
      <c r="N251" s="199"/>
      <c r="P251" s="141" t="str">
        <f t="shared" si="23"/>
        <v/>
      </c>
      <c r="Q251" s="141" t="str">
        <f t="shared" si="24"/>
        <v/>
      </c>
      <c r="AA251" s="141" t="s">
        <v>1677</v>
      </c>
      <c r="AB251" s="141" t="s">
        <v>1678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4"/>
      <c r="F252" s="146" t="str">
        <f t="shared" si="22"/>
        <v/>
      </c>
      <c r="G252" s="183"/>
      <c r="H252" s="183"/>
      <c r="I252" s="183"/>
      <c r="J252" s="199"/>
      <c r="K252" s="198"/>
      <c r="L252" s="198"/>
      <c r="M252" s="199"/>
      <c r="N252" s="199"/>
      <c r="P252" s="141" t="str">
        <f t="shared" si="23"/>
        <v/>
      </c>
      <c r="Q252" s="141" t="str">
        <f t="shared" si="24"/>
        <v/>
      </c>
      <c r="AA252" s="141" t="s">
        <v>1679</v>
      </c>
      <c r="AB252" s="141" t="s">
        <v>1680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4"/>
      <c r="F253" s="146" t="str">
        <f t="shared" si="22"/>
        <v/>
      </c>
      <c r="G253" s="183"/>
      <c r="H253" s="183"/>
      <c r="I253" s="183"/>
      <c r="J253" s="199"/>
      <c r="K253" s="198"/>
      <c r="L253" s="198"/>
      <c r="M253" s="199"/>
      <c r="N253" s="199"/>
      <c r="P253" s="141" t="str">
        <f t="shared" si="23"/>
        <v/>
      </c>
      <c r="Q253" s="141" t="str">
        <f t="shared" si="24"/>
        <v/>
      </c>
      <c r="AA253" s="141" t="s">
        <v>1681</v>
      </c>
      <c r="AB253" s="141" t="s">
        <v>1682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4"/>
      <c r="F254" s="146" t="str">
        <f t="shared" si="22"/>
        <v/>
      </c>
      <c r="G254" s="183"/>
      <c r="H254" s="183"/>
      <c r="I254" s="183"/>
      <c r="J254" s="199"/>
      <c r="K254" s="198"/>
      <c r="L254" s="198"/>
      <c r="M254" s="199"/>
      <c r="N254" s="199"/>
      <c r="P254" s="141" t="str">
        <f t="shared" si="23"/>
        <v/>
      </c>
      <c r="Q254" s="141" t="str">
        <f t="shared" si="24"/>
        <v/>
      </c>
      <c r="AA254" s="141" t="s">
        <v>1683</v>
      </c>
      <c r="AB254" s="141" t="s">
        <v>1684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4"/>
      <c r="F255" s="146" t="str">
        <f t="shared" si="22"/>
        <v/>
      </c>
      <c r="G255" s="183"/>
      <c r="H255" s="183"/>
      <c r="I255" s="183"/>
      <c r="J255" s="199"/>
      <c r="K255" s="198"/>
      <c r="L255" s="198"/>
      <c r="M255" s="199"/>
      <c r="N255" s="199"/>
      <c r="P255" s="141" t="str">
        <f t="shared" si="23"/>
        <v/>
      </c>
      <c r="Q255" s="141" t="str">
        <f t="shared" si="24"/>
        <v/>
      </c>
      <c r="AA255" s="141" t="s">
        <v>1685</v>
      </c>
      <c r="AB255" s="141" t="s">
        <v>1686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4"/>
      <c r="F256" s="146" t="str">
        <f t="shared" si="22"/>
        <v/>
      </c>
      <c r="G256" s="183"/>
      <c r="H256" s="183"/>
      <c r="I256" s="183"/>
      <c r="J256" s="199"/>
      <c r="K256" s="198"/>
      <c r="L256" s="198"/>
      <c r="M256" s="199"/>
      <c r="N256" s="199"/>
      <c r="P256" s="141" t="str">
        <f t="shared" si="23"/>
        <v/>
      </c>
      <c r="Q256" s="141" t="str">
        <f t="shared" si="24"/>
        <v/>
      </c>
      <c r="AA256" s="141" t="s">
        <v>1687</v>
      </c>
      <c r="AB256" s="141" t="s">
        <v>1688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4"/>
      <c r="F257" s="146" t="str">
        <f t="shared" si="22"/>
        <v/>
      </c>
      <c r="G257" s="183"/>
      <c r="H257" s="183"/>
      <c r="I257" s="183"/>
      <c r="J257" s="199"/>
      <c r="K257" s="198"/>
      <c r="L257" s="198"/>
      <c r="M257" s="199"/>
      <c r="N257" s="199"/>
      <c r="P257" s="141" t="str">
        <f t="shared" si="23"/>
        <v/>
      </c>
      <c r="Q257" s="141" t="str">
        <f t="shared" si="24"/>
        <v/>
      </c>
      <c r="AA257" s="141" t="s">
        <v>1689</v>
      </c>
      <c r="AB257" s="141" t="s">
        <v>1690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4"/>
      <c r="F258" s="146" t="str">
        <f t="shared" si="22"/>
        <v/>
      </c>
      <c r="G258" s="183"/>
      <c r="H258" s="183"/>
      <c r="I258" s="183"/>
      <c r="J258" s="199"/>
      <c r="K258" s="198"/>
      <c r="L258" s="198"/>
      <c r="M258" s="199"/>
      <c r="N258" s="199"/>
      <c r="P258" s="141" t="str">
        <f t="shared" si="23"/>
        <v/>
      </c>
      <c r="Q258" s="141" t="str">
        <f t="shared" si="24"/>
        <v/>
      </c>
      <c r="AA258" s="141" t="s">
        <v>1691</v>
      </c>
      <c r="AB258" s="141" t="s">
        <v>1692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4"/>
      <c r="F259" s="146" t="str">
        <f t="shared" si="22"/>
        <v/>
      </c>
      <c r="G259" s="183"/>
      <c r="H259" s="183"/>
      <c r="I259" s="183"/>
      <c r="J259" s="199"/>
      <c r="K259" s="198"/>
      <c r="L259" s="198"/>
      <c r="M259" s="199"/>
      <c r="N259" s="199"/>
      <c r="P259" s="141" t="str">
        <f t="shared" si="23"/>
        <v/>
      </c>
      <c r="Q259" s="141" t="str">
        <f t="shared" si="24"/>
        <v/>
      </c>
      <c r="AA259" s="141" t="s">
        <v>1693</v>
      </c>
      <c r="AB259" s="141" t="s">
        <v>1694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4"/>
      <c r="F260" s="146" t="str">
        <f t="shared" ref="F260:F323" si="27">IFERROR(VLOOKUP(E260,$AA$5:$AB$500,2,FALSE),"")</f>
        <v/>
      </c>
      <c r="G260" s="183"/>
      <c r="H260" s="183"/>
      <c r="I260" s="183"/>
      <c r="J260" s="199"/>
      <c r="K260" s="198"/>
      <c r="L260" s="198"/>
      <c r="M260" s="199"/>
      <c r="N260" s="199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1695</v>
      </c>
      <c r="AB260" s="141" t="s">
        <v>1696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4"/>
      <c r="F261" s="146" t="str">
        <f t="shared" si="27"/>
        <v/>
      </c>
      <c r="G261" s="183"/>
      <c r="H261" s="183"/>
      <c r="I261" s="183"/>
      <c r="J261" s="199"/>
      <c r="K261" s="198"/>
      <c r="L261" s="198"/>
      <c r="M261" s="199"/>
      <c r="N261" s="199"/>
      <c r="P261" s="141" t="str">
        <f t="shared" si="28"/>
        <v/>
      </c>
      <c r="Q261" s="141" t="str">
        <f t="shared" si="29"/>
        <v/>
      </c>
      <c r="AA261" s="141" t="s">
        <v>1697</v>
      </c>
      <c r="AB261" s="141" t="s">
        <v>1698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4"/>
      <c r="F262" s="146" t="str">
        <f t="shared" si="27"/>
        <v/>
      </c>
      <c r="G262" s="183"/>
      <c r="H262" s="183"/>
      <c r="I262" s="183"/>
      <c r="J262" s="199"/>
      <c r="K262" s="198"/>
      <c r="L262" s="198"/>
      <c r="M262" s="199"/>
      <c r="N262" s="199"/>
      <c r="P262" s="141" t="str">
        <f t="shared" si="28"/>
        <v/>
      </c>
      <c r="Q262" s="141" t="str">
        <f t="shared" si="29"/>
        <v/>
      </c>
      <c r="AA262" s="141" t="s">
        <v>1699</v>
      </c>
      <c r="AB262" s="141" t="s">
        <v>1700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4"/>
      <c r="F263" s="146" t="str">
        <f t="shared" si="27"/>
        <v/>
      </c>
      <c r="G263" s="183"/>
      <c r="H263" s="183"/>
      <c r="I263" s="183"/>
      <c r="J263" s="199"/>
      <c r="K263" s="198"/>
      <c r="L263" s="198"/>
      <c r="M263" s="199"/>
      <c r="N263" s="199"/>
      <c r="P263" s="141" t="str">
        <f t="shared" si="28"/>
        <v/>
      </c>
      <c r="Q263" s="141" t="str">
        <f t="shared" si="29"/>
        <v/>
      </c>
      <c r="AA263" s="141" t="s">
        <v>1701</v>
      </c>
      <c r="AB263" s="141" t="s">
        <v>1702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4"/>
      <c r="F264" s="146" t="str">
        <f t="shared" si="27"/>
        <v/>
      </c>
      <c r="G264" s="183"/>
      <c r="H264" s="183"/>
      <c r="I264" s="183"/>
      <c r="J264" s="199"/>
      <c r="K264" s="198"/>
      <c r="L264" s="198"/>
      <c r="M264" s="199"/>
      <c r="N264" s="199"/>
      <c r="P264" s="141" t="str">
        <f t="shared" si="28"/>
        <v/>
      </c>
      <c r="Q264" s="141" t="str">
        <f t="shared" si="29"/>
        <v/>
      </c>
      <c r="AA264" s="141" t="s">
        <v>1703</v>
      </c>
      <c r="AB264" s="141" t="s">
        <v>1704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4"/>
      <c r="F265" s="146" t="str">
        <f t="shared" si="27"/>
        <v/>
      </c>
      <c r="G265" s="183"/>
      <c r="H265" s="183"/>
      <c r="I265" s="183"/>
      <c r="J265" s="199"/>
      <c r="K265" s="198"/>
      <c r="L265" s="198"/>
      <c r="M265" s="199"/>
      <c r="N265" s="199"/>
      <c r="P265" s="141" t="str">
        <f t="shared" si="28"/>
        <v/>
      </c>
      <c r="Q265" s="141" t="str">
        <f t="shared" si="29"/>
        <v/>
      </c>
      <c r="AA265" s="141" t="s">
        <v>1705</v>
      </c>
      <c r="AB265" s="141" t="s">
        <v>1706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4"/>
      <c r="F266" s="146" t="str">
        <f t="shared" si="27"/>
        <v/>
      </c>
      <c r="G266" s="183"/>
      <c r="H266" s="183"/>
      <c r="I266" s="183"/>
      <c r="J266" s="199"/>
      <c r="K266" s="198"/>
      <c r="L266" s="198"/>
      <c r="M266" s="199"/>
      <c r="N266" s="199"/>
      <c r="P266" s="141" t="str">
        <f t="shared" si="28"/>
        <v/>
      </c>
      <c r="Q266" s="141" t="str">
        <f t="shared" si="29"/>
        <v/>
      </c>
      <c r="AA266" s="141" t="s">
        <v>1707</v>
      </c>
      <c r="AB266" s="141" t="s">
        <v>1708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4"/>
      <c r="F267" s="146" t="str">
        <f t="shared" si="27"/>
        <v/>
      </c>
      <c r="G267" s="183"/>
      <c r="H267" s="183"/>
      <c r="I267" s="183"/>
      <c r="J267" s="199"/>
      <c r="K267" s="198"/>
      <c r="L267" s="198"/>
      <c r="M267" s="199"/>
      <c r="N267" s="199"/>
      <c r="P267" s="141" t="str">
        <f t="shared" si="28"/>
        <v/>
      </c>
      <c r="Q267" s="141" t="str">
        <f t="shared" si="29"/>
        <v/>
      </c>
      <c r="AA267" s="141" t="s">
        <v>1709</v>
      </c>
      <c r="AB267" s="141" t="s">
        <v>1710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4"/>
      <c r="F268" s="146" t="str">
        <f t="shared" si="27"/>
        <v/>
      </c>
      <c r="G268" s="183"/>
      <c r="H268" s="183"/>
      <c r="I268" s="183"/>
      <c r="J268" s="199"/>
      <c r="K268" s="198"/>
      <c r="L268" s="198"/>
      <c r="M268" s="199"/>
      <c r="N268" s="199"/>
      <c r="P268" s="141" t="str">
        <f t="shared" si="28"/>
        <v/>
      </c>
      <c r="Q268" s="141" t="str">
        <f t="shared" si="29"/>
        <v/>
      </c>
      <c r="AA268" s="141" t="s">
        <v>1711</v>
      </c>
      <c r="AB268" s="141" t="s">
        <v>1712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4"/>
      <c r="F269" s="146" t="str">
        <f t="shared" si="27"/>
        <v/>
      </c>
      <c r="G269" s="183"/>
      <c r="H269" s="183"/>
      <c r="I269" s="183"/>
      <c r="J269" s="199"/>
      <c r="K269" s="198"/>
      <c r="L269" s="198"/>
      <c r="M269" s="199"/>
      <c r="N269" s="199"/>
      <c r="P269" s="141" t="str">
        <f t="shared" si="28"/>
        <v/>
      </c>
      <c r="Q269" s="141" t="str">
        <f t="shared" si="29"/>
        <v/>
      </c>
      <c r="AA269" s="141" t="s">
        <v>1713</v>
      </c>
      <c r="AB269" s="141" t="s">
        <v>1714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4"/>
      <c r="F270" s="146" t="str">
        <f t="shared" si="27"/>
        <v/>
      </c>
      <c r="G270" s="183"/>
      <c r="H270" s="183"/>
      <c r="I270" s="183"/>
      <c r="J270" s="199"/>
      <c r="K270" s="198"/>
      <c r="L270" s="198"/>
      <c r="M270" s="199"/>
      <c r="N270" s="199"/>
      <c r="P270" s="141" t="str">
        <f t="shared" si="28"/>
        <v/>
      </c>
      <c r="Q270" s="141" t="str">
        <f t="shared" si="29"/>
        <v/>
      </c>
      <c r="AA270" s="141" t="s">
        <v>1715</v>
      </c>
      <c r="AB270" s="141" t="s">
        <v>1716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4"/>
      <c r="F271" s="146" t="str">
        <f t="shared" si="27"/>
        <v/>
      </c>
      <c r="G271" s="183"/>
      <c r="H271" s="183"/>
      <c r="I271" s="183"/>
      <c r="J271" s="199"/>
      <c r="K271" s="198"/>
      <c r="L271" s="198"/>
      <c r="M271" s="199"/>
      <c r="N271" s="199"/>
      <c r="P271" s="141" t="str">
        <f t="shared" si="28"/>
        <v/>
      </c>
      <c r="Q271" s="141" t="str">
        <f t="shared" si="29"/>
        <v/>
      </c>
      <c r="AA271" s="141" t="s">
        <v>1717</v>
      </c>
      <c r="AB271" s="141" t="s">
        <v>1718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4"/>
      <c r="F272" s="146" t="str">
        <f t="shared" si="27"/>
        <v/>
      </c>
      <c r="G272" s="183"/>
      <c r="H272" s="183"/>
      <c r="I272" s="183"/>
      <c r="J272" s="199"/>
      <c r="K272" s="198"/>
      <c r="L272" s="198"/>
      <c r="M272" s="199"/>
      <c r="N272" s="199"/>
      <c r="P272" s="141" t="str">
        <f t="shared" si="28"/>
        <v/>
      </c>
      <c r="Q272" s="141" t="str">
        <f t="shared" si="29"/>
        <v/>
      </c>
      <c r="AA272" s="141" t="s">
        <v>1719</v>
      </c>
      <c r="AB272" s="141" t="s">
        <v>1720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4"/>
      <c r="F273" s="146" t="str">
        <f t="shared" si="27"/>
        <v/>
      </c>
      <c r="G273" s="183"/>
      <c r="H273" s="183"/>
      <c r="I273" s="183"/>
      <c r="J273" s="199"/>
      <c r="K273" s="198"/>
      <c r="L273" s="198"/>
      <c r="M273" s="199"/>
      <c r="N273" s="199"/>
      <c r="P273" s="141" t="str">
        <f t="shared" si="28"/>
        <v/>
      </c>
      <c r="Q273" s="141" t="str">
        <f t="shared" si="29"/>
        <v/>
      </c>
      <c r="AA273" s="141" t="s">
        <v>1721</v>
      </c>
      <c r="AB273" s="141" t="s">
        <v>1722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4"/>
      <c r="F274" s="146" t="str">
        <f t="shared" si="27"/>
        <v/>
      </c>
      <c r="G274" s="183"/>
      <c r="H274" s="183"/>
      <c r="I274" s="183"/>
      <c r="J274" s="199"/>
      <c r="K274" s="198"/>
      <c r="L274" s="198"/>
      <c r="M274" s="199"/>
      <c r="N274" s="199"/>
      <c r="P274" s="141" t="str">
        <f t="shared" si="28"/>
        <v/>
      </c>
      <c r="Q274" s="141" t="str">
        <f t="shared" si="29"/>
        <v/>
      </c>
      <c r="AA274" s="141" t="s">
        <v>1723</v>
      </c>
      <c r="AB274" s="141" t="s">
        <v>1724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4"/>
      <c r="F275" s="146" t="str">
        <f t="shared" si="27"/>
        <v/>
      </c>
      <c r="G275" s="183"/>
      <c r="H275" s="183"/>
      <c r="I275" s="183"/>
      <c r="J275" s="199"/>
      <c r="K275" s="198"/>
      <c r="L275" s="198"/>
      <c r="M275" s="199"/>
      <c r="N275" s="199"/>
      <c r="P275" s="141" t="str">
        <f t="shared" si="28"/>
        <v/>
      </c>
      <c r="Q275" s="141" t="str">
        <f t="shared" si="29"/>
        <v/>
      </c>
      <c r="AA275" s="141" t="s">
        <v>1725</v>
      </c>
      <c r="AB275" s="141" t="s">
        <v>1726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4"/>
      <c r="F276" s="146" t="str">
        <f t="shared" si="27"/>
        <v/>
      </c>
      <c r="G276" s="183"/>
      <c r="H276" s="183"/>
      <c r="I276" s="183"/>
      <c r="J276" s="199"/>
      <c r="K276" s="198"/>
      <c r="L276" s="198"/>
      <c r="M276" s="199"/>
      <c r="N276" s="199"/>
      <c r="P276" s="141" t="str">
        <f t="shared" si="28"/>
        <v/>
      </c>
      <c r="Q276" s="141" t="str">
        <f t="shared" si="29"/>
        <v/>
      </c>
      <c r="AA276" s="141" t="s">
        <v>1727</v>
      </c>
      <c r="AB276" s="141" t="s">
        <v>1728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4"/>
      <c r="F277" s="146" t="str">
        <f t="shared" si="27"/>
        <v/>
      </c>
      <c r="G277" s="183"/>
      <c r="H277" s="183"/>
      <c r="I277" s="183"/>
      <c r="J277" s="199"/>
      <c r="K277" s="198"/>
      <c r="L277" s="198"/>
      <c r="M277" s="199"/>
      <c r="N277" s="199"/>
      <c r="P277" s="141" t="str">
        <f t="shared" si="28"/>
        <v/>
      </c>
      <c r="Q277" s="141" t="str">
        <f t="shared" si="29"/>
        <v/>
      </c>
      <c r="AA277" s="141" t="s">
        <v>1729</v>
      </c>
      <c r="AB277" s="141" t="s">
        <v>1730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4"/>
      <c r="F278" s="146" t="str">
        <f t="shared" si="27"/>
        <v/>
      </c>
      <c r="G278" s="183"/>
      <c r="H278" s="183"/>
      <c r="I278" s="183"/>
      <c r="J278" s="199"/>
      <c r="K278" s="198"/>
      <c r="L278" s="198"/>
      <c r="M278" s="199"/>
      <c r="N278" s="199"/>
      <c r="P278" s="141" t="str">
        <f t="shared" si="28"/>
        <v/>
      </c>
      <c r="Q278" s="141" t="str">
        <f t="shared" si="29"/>
        <v/>
      </c>
      <c r="AA278" s="141" t="s">
        <v>1731</v>
      </c>
      <c r="AB278" s="141" t="s">
        <v>1732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4"/>
      <c r="F279" s="146" t="str">
        <f t="shared" si="27"/>
        <v/>
      </c>
      <c r="G279" s="183"/>
      <c r="H279" s="183"/>
      <c r="I279" s="183"/>
      <c r="J279" s="199"/>
      <c r="K279" s="198"/>
      <c r="L279" s="198"/>
      <c r="M279" s="199"/>
      <c r="N279" s="199"/>
      <c r="P279" s="141" t="str">
        <f t="shared" si="28"/>
        <v/>
      </c>
      <c r="Q279" s="141" t="str">
        <f t="shared" si="29"/>
        <v/>
      </c>
      <c r="AA279" s="141" t="s">
        <v>1733</v>
      </c>
      <c r="AB279" s="141" t="s">
        <v>1734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4"/>
      <c r="F280" s="146" t="str">
        <f t="shared" si="27"/>
        <v/>
      </c>
      <c r="G280" s="183"/>
      <c r="H280" s="183"/>
      <c r="I280" s="183"/>
      <c r="J280" s="199"/>
      <c r="K280" s="198"/>
      <c r="L280" s="198"/>
      <c r="M280" s="199"/>
      <c r="N280" s="199"/>
      <c r="P280" s="141" t="str">
        <f t="shared" si="28"/>
        <v/>
      </c>
      <c r="Q280" s="141" t="str">
        <f t="shared" si="29"/>
        <v/>
      </c>
      <c r="AA280" s="141" t="s">
        <v>1735</v>
      </c>
      <c r="AB280" s="141" t="s">
        <v>1736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4"/>
      <c r="F281" s="146" t="str">
        <f t="shared" si="27"/>
        <v/>
      </c>
      <c r="G281" s="183"/>
      <c r="H281" s="183"/>
      <c r="I281" s="183"/>
      <c r="J281" s="199"/>
      <c r="K281" s="198"/>
      <c r="L281" s="198"/>
      <c r="M281" s="199"/>
      <c r="N281" s="199"/>
      <c r="P281" s="141" t="str">
        <f t="shared" si="28"/>
        <v/>
      </c>
      <c r="Q281" s="141" t="str">
        <f t="shared" si="29"/>
        <v/>
      </c>
      <c r="AA281" s="141" t="s">
        <v>1737</v>
      </c>
      <c r="AB281" s="141" t="s">
        <v>1738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4"/>
      <c r="F282" s="146" t="str">
        <f t="shared" si="27"/>
        <v/>
      </c>
      <c r="G282" s="183"/>
      <c r="H282" s="183"/>
      <c r="I282" s="183"/>
      <c r="J282" s="199"/>
      <c r="K282" s="198"/>
      <c r="L282" s="198"/>
      <c r="M282" s="199"/>
      <c r="N282" s="199"/>
      <c r="P282" s="141" t="str">
        <f t="shared" si="28"/>
        <v/>
      </c>
      <c r="Q282" s="141" t="str">
        <f t="shared" si="29"/>
        <v/>
      </c>
      <c r="AA282" s="141" t="s">
        <v>1739</v>
      </c>
      <c r="AB282" s="141" t="s">
        <v>1740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4"/>
      <c r="F283" s="146" t="str">
        <f t="shared" si="27"/>
        <v/>
      </c>
      <c r="G283" s="183"/>
      <c r="H283" s="183"/>
      <c r="I283" s="183"/>
      <c r="J283" s="199"/>
      <c r="K283" s="198"/>
      <c r="L283" s="198"/>
      <c r="M283" s="199"/>
      <c r="N283" s="199"/>
      <c r="P283" s="141" t="str">
        <f t="shared" si="28"/>
        <v/>
      </c>
      <c r="Q283" s="141" t="str">
        <f t="shared" si="29"/>
        <v/>
      </c>
      <c r="AA283" s="141" t="s">
        <v>1741</v>
      </c>
      <c r="AB283" s="141" t="s">
        <v>1742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4"/>
      <c r="F284" s="146" t="str">
        <f t="shared" si="27"/>
        <v/>
      </c>
      <c r="G284" s="183"/>
      <c r="H284" s="183"/>
      <c r="I284" s="183"/>
      <c r="J284" s="199"/>
      <c r="K284" s="198"/>
      <c r="L284" s="198"/>
      <c r="M284" s="199"/>
      <c r="N284" s="199"/>
      <c r="P284" s="141" t="str">
        <f t="shared" si="28"/>
        <v/>
      </c>
      <c r="Q284" s="141" t="str">
        <f t="shared" si="29"/>
        <v/>
      </c>
      <c r="AA284" s="141" t="s">
        <v>1743</v>
      </c>
      <c r="AB284" s="141" t="s">
        <v>1744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4"/>
      <c r="F285" s="146" t="str">
        <f t="shared" si="27"/>
        <v/>
      </c>
      <c r="G285" s="183"/>
      <c r="H285" s="183"/>
      <c r="I285" s="183"/>
      <c r="J285" s="199"/>
      <c r="K285" s="198"/>
      <c r="L285" s="198"/>
      <c r="M285" s="199"/>
      <c r="N285" s="199"/>
      <c r="P285" s="141" t="str">
        <f t="shared" si="28"/>
        <v/>
      </c>
      <c r="Q285" s="141" t="str">
        <f t="shared" si="29"/>
        <v/>
      </c>
      <c r="AA285" s="141" t="s">
        <v>1745</v>
      </c>
      <c r="AB285" s="141" t="s">
        <v>1746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4"/>
      <c r="F286" s="146" t="str">
        <f t="shared" si="27"/>
        <v/>
      </c>
      <c r="G286" s="183"/>
      <c r="H286" s="183"/>
      <c r="I286" s="183"/>
      <c r="J286" s="199"/>
      <c r="K286" s="198"/>
      <c r="L286" s="198"/>
      <c r="M286" s="199"/>
      <c r="N286" s="199"/>
      <c r="P286" s="141" t="str">
        <f t="shared" si="28"/>
        <v/>
      </c>
      <c r="Q286" s="141" t="str">
        <f t="shared" si="29"/>
        <v/>
      </c>
      <c r="AA286" s="141" t="s">
        <v>1747</v>
      </c>
      <c r="AB286" s="141" t="s">
        <v>1748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4"/>
      <c r="F287" s="146" t="str">
        <f t="shared" si="27"/>
        <v/>
      </c>
      <c r="G287" s="183"/>
      <c r="H287" s="183"/>
      <c r="I287" s="183"/>
      <c r="J287" s="199"/>
      <c r="K287" s="198"/>
      <c r="L287" s="198"/>
      <c r="M287" s="199"/>
      <c r="N287" s="199"/>
      <c r="P287" s="141" t="str">
        <f t="shared" si="28"/>
        <v/>
      </c>
      <c r="Q287" s="141" t="str">
        <f t="shared" si="29"/>
        <v/>
      </c>
      <c r="AA287" s="141" t="s">
        <v>1749</v>
      </c>
      <c r="AB287" s="141" t="s">
        <v>1750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4"/>
      <c r="F288" s="146" t="str">
        <f t="shared" si="27"/>
        <v/>
      </c>
      <c r="G288" s="183"/>
      <c r="H288" s="183"/>
      <c r="I288" s="183"/>
      <c r="J288" s="199"/>
      <c r="K288" s="198"/>
      <c r="L288" s="198"/>
      <c r="M288" s="199"/>
      <c r="N288" s="199"/>
      <c r="P288" s="141" t="str">
        <f t="shared" si="28"/>
        <v/>
      </c>
      <c r="Q288" s="141" t="str">
        <f t="shared" si="29"/>
        <v/>
      </c>
      <c r="AA288" s="141" t="s">
        <v>1751</v>
      </c>
      <c r="AB288" s="141" t="s">
        <v>1752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4"/>
      <c r="F289" s="146" t="str">
        <f t="shared" si="27"/>
        <v/>
      </c>
      <c r="G289" s="183"/>
      <c r="H289" s="183"/>
      <c r="I289" s="183"/>
      <c r="J289" s="199"/>
      <c r="K289" s="198"/>
      <c r="L289" s="198"/>
      <c r="M289" s="199"/>
      <c r="N289" s="199"/>
      <c r="P289" s="141" t="str">
        <f t="shared" si="28"/>
        <v/>
      </c>
      <c r="Q289" s="141" t="str">
        <f t="shared" si="29"/>
        <v/>
      </c>
      <c r="AA289" s="141" t="s">
        <v>1753</v>
      </c>
      <c r="AB289" s="141" t="s">
        <v>1754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4"/>
      <c r="F290" s="146" t="str">
        <f t="shared" si="27"/>
        <v/>
      </c>
      <c r="G290" s="183"/>
      <c r="H290" s="183"/>
      <c r="I290" s="183"/>
      <c r="J290" s="199"/>
      <c r="K290" s="198"/>
      <c r="L290" s="198"/>
      <c r="M290" s="199"/>
      <c r="N290" s="199"/>
      <c r="P290" s="141" t="str">
        <f t="shared" si="28"/>
        <v/>
      </c>
      <c r="Q290" s="141" t="str">
        <f t="shared" si="29"/>
        <v/>
      </c>
      <c r="AA290" s="141" t="s">
        <v>1755</v>
      </c>
      <c r="AB290" s="141" t="s">
        <v>1756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4"/>
      <c r="F291" s="146" t="str">
        <f t="shared" si="27"/>
        <v/>
      </c>
      <c r="G291" s="183"/>
      <c r="H291" s="183"/>
      <c r="I291" s="183"/>
      <c r="J291" s="199"/>
      <c r="K291" s="198"/>
      <c r="L291" s="198"/>
      <c r="M291" s="199"/>
      <c r="N291" s="199"/>
      <c r="P291" s="141" t="str">
        <f t="shared" si="28"/>
        <v/>
      </c>
      <c r="Q291" s="141" t="str">
        <f t="shared" si="29"/>
        <v/>
      </c>
      <c r="AA291" s="141" t="s">
        <v>1757</v>
      </c>
      <c r="AB291" s="141" t="s">
        <v>1758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4"/>
      <c r="F292" s="146" t="str">
        <f t="shared" si="27"/>
        <v/>
      </c>
      <c r="G292" s="183"/>
      <c r="H292" s="183"/>
      <c r="I292" s="183"/>
      <c r="J292" s="199"/>
      <c r="K292" s="198"/>
      <c r="L292" s="198"/>
      <c r="M292" s="199"/>
      <c r="N292" s="199"/>
      <c r="P292" s="141" t="str">
        <f t="shared" si="28"/>
        <v/>
      </c>
      <c r="Q292" s="141" t="str">
        <f t="shared" si="29"/>
        <v/>
      </c>
      <c r="AA292" s="141" t="s">
        <v>1759</v>
      </c>
      <c r="AB292" s="141" t="s">
        <v>1760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4"/>
      <c r="F293" s="146" t="str">
        <f t="shared" si="27"/>
        <v/>
      </c>
      <c r="G293" s="183"/>
      <c r="H293" s="183"/>
      <c r="I293" s="183"/>
      <c r="J293" s="199"/>
      <c r="K293" s="198"/>
      <c r="L293" s="198"/>
      <c r="M293" s="199"/>
      <c r="N293" s="199"/>
      <c r="P293" s="141" t="str">
        <f t="shared" si="28"/>
        <v/>
      </c>
      <c r="Q293" s="141" t="str">
        <f t="shared" si="29"/>
        <v/>
      </c>
      <c r="AA293" s="141" t="s">
        <v>1761</v>
      </c>
      <c r="AB293" s="141" t="s">
        <v>1762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4"/>
      <c r="F294" s="146" t="str">
        <f t="shared" si="27"/>
        <v/>
      </c>
      <c r="G294" s="183"/>
      <c r="H294" s="183"/>
      <c r="I294" s="183"/>
      <c r="J294" s="199"/>
      <c r="K294" s="198"/>
      <c r="L294" s="198"/>
      <c r="M294" s="199"/>
      <c r="N294" s="199"/>
      <c r="P294" s="141" t="str">
        <f t="shared" si="28"/>
        <v/>
      </c>
      <c r="Q294" s="141" t="str">
        <f t="shared" si="29"/>
        <v/>
      </c>
      <c r="AA294" s="141" t="s">
        <v>1763</v>
      </c>
      <c r="AB294" s="141" t="s">
        <v>1764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4"/>
      <c r="F295" s="146" t="str">
        <f t="shared" si="27"/>
        <v/>
      </c>
      <c r="G295" s="183"/>
      <c r="H295" s="183"/>
      <c r="I295" s="183"/>
      <c r="J295" s="199"/>
      <c r="K295" s="198"/>
      <c r="L295" s="198"/>
      <c r="M295" s="199"/>
      <c r="N295" s="199"/>
      <c r="P295" s="141" t="str">
        <f t="shared" si="28"/>
        <v/>
      </c>
      <c r="Q295" s="141" t="str">
        <f t="shared" si="29"/>
        <v/>
      </c>
      <c r="AA295" s="141" t="s">
        <v>1765</v>
      </c>
      <c r="AB295" s="141" t="s">
        <v>1766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4"/>
      <c r="F296" s="146" t="str">
        <f t="shared" si="27"/>
        <v/>
      </c>
      <c r="G296" s="183"/>
      <c r="H296" s="183"/>
      <c r="I296" s="183"/>
      <c r="J296" s="199"/>
      <c r="K296" s="198"/>
      <c r="L296" s="198"/>
      <c r="M296" s="199"/>
      <c r="N296" s="199"/>
      <c r="P296" s="141" t="str">
        <f t="shared" si="28"/>
        <v/>
      </c>
      <c r="Q296" s="141" t="str">
        <f t="shared" si="29"/>
        <v/>
      </c>
      <c r="AA296" s="141" t="s">
        <v>1767</v>
      </c>
      <c r="AB296" s="141" t="s">
        <v>1768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4"/>
      <c r="F297" s="146" t="str">
        <f t="shared" si="27"/>
        <v/>
      </c>
      <c r="G297" s="183"/>
      <c r="H297" s="183"/>
      <c r="I297" s="183"/>
      <c r="J297" s="199"/>
      <c r="K297" s="198"/>
      <c r="L297" s="198"/>
      <c r="M297" s="199"/>
      <c r="N297" s="199"/>
      <c r="P297" s="141" t="str">
        <f t="shared" si="28"/>
        <v/>
      </c>
      <c r="Q297" s="141" t="str">
        <f t="shared" si="29"/>
        <v/>
      </c>
      <c r="AA297" s="141" t="s">
        <v>1769</v>
      </c>
      <c r="AB297" s="141" t="s">
        <v>1770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4"/>
      <c r="F298" s="146" t="str">
        <f t="shared" si="27"/>
        <v/>
      </c>
      <c r="G298" s="183"/>
      <c r="H298" s="183"/>
      <c r="I298" s="183"/>
      <c r="J298" s="199"/>
      <c r="K298" s="198"/>
      <c r="L298" s="198"/>
      <c r="M298" s="199"/>
      <c r="N298" s="199"/>
      <c r="P298" s="141" t="str">
        <f t="shared" si="28"/>
        <v/>
      </c>
      <c r="Q298" s="141" t="str">
        <f t="shared" si="29"/>
        <v/>
      </c>
      <c r="AA298" s="141" t="s">
        <v>1771</v>
      </c>
      <c r="AB298" s="141" t="s">
        <v>1772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4"/>
      <c r="F299" s="146" t="str">
        <f t="shared" si="27"/>
        <v/>
      </c>
      <c r="G299" s="183"/>
      <c r="H299" s="183"/>
      <c r="I299" s="183"/>
      <c r="J299" s="199"/>
      <c r="K299" s="198"/>
      <c r="L299" s="198"/>
      <c r="M299" s="199"/>
      <c r="N299" s="199"/>
      <c r="P299" s="141" t="str">
        <f t="shared" si="28"/>
        <v/>
      </c>
      <c r="Q299" s="141" t="str">
        <f t="shared" si="29"/>
        <v/>
      </c>
      <c r="AA299" s="141" t="s">
        <v>1773</v>
      </c>
      <c r="AB299" s="141" t="s">
        <v>1774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4"/>
      <c r="F300" s="146" t="str">
        <f t="shared" si="27"/>
        <v/>
      </c>
      <c r="G300" s="183"/>
      <c r="H300" s="183"/>
      <c r="I300" s="183"/>
      <c r="J300" s="199"/>
      <c r="K300" s="198"/>
      <c r="L300" s="198"/>
      <c r="M300" s="199"/>
      <c r="N300" s="199"/>
      <c r="P300" s="141" t="str">
        <f t="shared" si="28"/>
        <v/>
      </c>
      <c r="Q300" s="141" t="str">
        <f t="shared" si="29"/>
        <v/>
      </c>
      <c r="AA300" s="141" t="s">
        <v>1775</v>
      </c>
      <c r="AB300" s="141" t="s">
        <v>1776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4"/>
      <c r="F301" s="146" t="str">
        <f t="shared" si="27"/>
        <v/>
      </c>
      <c r="G301" s="183"/>
      <c r="H301" s="183"/>
      <c r="I301" s="183"/>
      <c r="J301" s="199"/>
      <c r="K301" s="198"/>
      <c r="L301" s="198"/>
      <c r="M301" s="199"/>
      <c r="N301" s="199"/>
      <c r="P301" s="141" t="str">
        <f t="shared" si="28"/>
        <v/>
      </c>
      <c r="Q301" s="141" t="str">
        <f t="shared" si="29"/>
        <v/>
      </c>
      <c r="AA301" s="141" t="s">
        <v>1777</v>
      </c>
      <c r="AB301" s="141" t="s">
        <v>1778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4"/>
      <c r="F302" s="146" t="str">
        <f t="shared" si="27"/>
        <v/>
      </c>
      <c r="G302" s="183"/>
      <c r="H302" s="183"/>
      <c r="I302" s="183"/>
      <c r="J302" s="199"/>
      <c r="K302" s="198"/>
      <c r="L302" s="198"/>
      <c r="M302" s="199"/>
      <c r="N302" s="199"/>
      <c r="P302" s="141" t="str">
        <f t="shared" si="28"/>
        <v/>
      </c>
      <c r="Q302" s="141" t="str">
        <f t="shared" si="29"/>
        <v/>
      </c>
      <c r="AA302" s="141" t="s">
        <v>1779</v>
      </c>
      <c r="AB302" s="141" t="s">
        <v>1780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4"/>
      <c r="F303" s="146" t="str">
        <f t="shared" si="27"/>
        <v/>
      </c>
      <c r="G303" s="183"/>
      <c r="H303" s="183"/>
      <c r="I303" s="183"/>
      <c r="J303" s="199"/>
      <c r="K303" s="198"/>
      <c r="L303" s="198"/>
      <c r="M303" s="199"/>
      <c r="N303" s="199"/>
      <c r="P303" s="141" t="str">
        <f t="shared" si="28"/>
        <v/>
      </c>
      <c r="Q303" s="141" t="str">
        <f t="shared" si="29"/>
        <v/>
      </c>
      <c r="AA303" s="141" t="s">
        <v>1781</v>
      </c>
      <c r="AB303" s="141" t="s">
        <v>1782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4"/>
      <c r="F304" s="146" t="str">
        <f t="shared" si="27"/>
        <v/>
      </c>
      <c r="G304" s="183"/>
      <c r="H304" s="183"/>
      <c r="I304" s="183"/>
      <c r="J304" s="199"/>
      <c r="K304" s="198"/>
      <c r="L304" s="198"/>
      <c r="M304" s="199"/>
      <c r="N304" s="199"/>
      <c r="P304" s="141" t="str">
        <f t="shared" si="28"/>
        <v/>
      </c>
      <c r="Q304" s="141" t="str">
        <f t="shared" si="29"/>
        <v/>
      </c>
      <c r="AA304" s="141" t="s">
        <v>1783</v>
      </c>
      <c r="AB304" s="141" t="s">
        <v>1784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4"/>
      <c r="F305" s="146" t="str">
        <f t="shared" si="27"/>
        <v/>
      </c>
      <c r="G305" s="183"/>
      <c r="H305" s="183"/>
      <c r="I305" s="183"/>
      <c r="J305" s="199"/>
      <c r="K305" s="198"/>
      <c r="L305" s="198"/>
      <c r="M305" s="199"/>
      <c r="N305" s="199"/>
      <c r="P305" s="141" t="str">
        <f t="shared" si="28"/>
        <v/>
      </c>
      <c r="Q305" s="141" t="str">
        <f t="shared" si="29"/>
        <v/>
      </c>
      <c r="AA305" s="141" t="s">
        <v>1785</v>
      </c>
      <c r="AB305" s="141" t="s">
        <v>1786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4"/>
      <c r="F306" s="146" t="str">
        <f t="shared" si="27"/>
        <v/>
      </c>
      <c r="G306" s="183"/>
      <c r="H306" s="183"/>
      <c r="I306" s="183"/>
      <c r="J306" s="199"/>
      <c r="K306" s="198"/>
      <c r="L306" s="198"/>
      <c r="M306" s="199"/>
      <c r="N306" s="199"/>
      <c r="P306" s="141" t="str">
        <f t="shared" si="28"/>
        <v/>
      </c>
      <c r="Q306" s="141" t="str">
        <f t="shared" si="29"/>
        <v/>
      </c>
      <c r="AA306" s="141" t="s">
        <v>1787</v>
      </c>
      <c r="AB306" s="141" t="s">
        <v>1788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4"/>
      <c r="F307" s="146" t="str">
        <f t="shared" si="27"/>
        <v/>
      </c>
      <c r="G307" s="183"/>
      <c r="H307" s="183"/>
      <c r="I307" s="183"/>
      <c r="J307" s="199"/>
      <c r="K307" s="198"/>
      <c r="L307" s="198"/>
      <c r="M307" s="199"/>
      <c r="N307" s="199"/>
      <c r="P307" s="141" t="str">
        <f t="shared" si="28"/>
        <v/>
      </c>
      <c r="Q307" s="141" t="str">
        <f t="shared" si="29"/>
        <v/>
      </c>
      <c r="AA307" s="141" t="s">
        <v>1789</v>
      </c>
      <c r="AB307" s="141" t="s">
        <v>1790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4"/>
      <c r="F308" s="146" t="str">
        <f t="shared" si="27"/>
        <v/>
      </c>
      <c r="G308" s="183"/>
      <c r="H308" s="183"/>
      <c r="I308" s="183"/>
      <c r="J308" s="199"/>
      <c r="K308" s="198"/>
      <c r="L308" s="198"/>
      <c r="M308" s="199"/>
      <c r="N308" s="199"/>
      <c r="P308" s="141" t="str">
        <f t="shared" si="28"/>
        <v/>
      </c>
      <c r="Q308" s="141" t="str">
        <f t="shared" si="29"/>
        <v/>
      </c>
      <c r="AA308" s="141" t="s">
        <v>1791</v>
      </c>
      <c r="AB308" s="141" t="s">
        <v>1792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4"/>
      <c r="F309" s="146" t="str">
        <f t="shared" si="27"/>
        <v/>
      </c>
      <c r="G309" s="183"/>
      <c r="H309" s="183"/>
      <c r="I309" s="183"/>
      <c r="J309" s="199"/>
      <c r="K309" s="198"/>
      <c r="L309" s="198"/>
      <c r="M309" s="199"/>
      <c r="N309" s="199"/>
      <c r="P309" s="141" t="str">
        <f t="shared" si="28"/>
        <v/>
      </c>
      <c r="Q309" s="141" t="str">
        <f t="shared" si="29"/>
        <v/>
      </c>
      <c r="AA309" s="141" t="s">
        <v>1793</v>
      </c>
      <c r="AB309" s="141" t="s">
        <v>1794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4"/>
      <c r="F310" s="146" t="str">
        <f t="shared" si="27"/>
        <v/>
      </c>
      <c r="G310" s="183"/>
      <c r="H310" s="183"/>
      <c r="I310" s="183"/>
      <c r="J310" s="199"/>
      <c r="K310" s="198"/>
      <c r="L310" s="198"/>
      <c r="M310" s="199"/>
      <c r="N310" s="199"/>
      <c r="P310" s="141" t="str">
        <f t="shared" si="28"/>
        <v/>
      </c>
      <c r="Q310" s="141" t="str">
        <f t="shared" si="29"/>
        <v/>
      </c>
      <c r="AA310" s="141" t="s">
        <v>1795</v>
      </c>
      <c r="AB310" s="141" t="s">
        <v>1796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4"/>
      <c r="F311" s="146" t="str">
        <f t="shared" si="27"/>
        <v/>
      </c>
      <c r="G311" s="183"/>
      <c r="H311" s="183"/>
      <c r="I311" s="183"/>
      <c r="J311" s="199"/>
      <c r="K311" s="198"/>
      <c r="L311" s="198"/>
      <c r="M311" s="199"/>
      <c r="N311" s="199"/>
      <c r="P311" s="141" t="str">
        <f t="shared" si="28"/>
        <v/>
      </c>
      <c r="Q311" s="141" t="str">
        <f t="shared" si="29"/>
        <v/>
      </c>
      <c r="AA311" s="141" t="s">
        <v>1797</v>
      </c>
      <c r="AB311" s="141" t="s">
        <v>1798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4"/>
      <c r="F312" s="146" t="str">
        <f t="shared" si="27"/>
        <v/>
      </c>
      <c r="G312" s="183"/>
      <c r="H312" s="183"/>
      <c r="I312" s="183"/>
      <c r="J312" s="199"/>
      <c r="K312" s="198"/>
      <c r="L312" s="198"/>
      <c r="M312" s="199"/>
      <c r="N312" s="199"/>
      <c r="P312" s="141" t="str">
        <f t="shared" si="28"/>
        <v/>
      </c>
      <c r="Q312" s="141" t="str">
        <f t="shared" si="29"/>
        <v/>
      </c>
      <c r="AA312" s="141" t="s">
        <v>1799</v>
      </c>
      <c r="AB312" s="141" t="s">
        <v>1800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4"/>
      <c r="F313" s="146" t="str">
        <f t="shared" si="27"/>
        <v/>
      </c>
      <c r="G313" s="183"/>
      <c r="H313" s="183"/>
      <c r="I313" s="183"/>
      <c r="J313" s="199"/>
      <c r="K313" s="198"/>
      <c r="L313" s="198"/>
      <c r="M313" s="199"/>
      <c r="N313" s="199"/>
      <c r="P313" s="141" t="str">
        <f t="shared" si="28"/>
        <v/>
      </c>
      <c r="Q313" s="141" t="str">
        <f t="shared" si="29"/>
        <v/>
      </c>
      <c r="AA313" s="141" t="s">
        <v>1801</v>
      </c>
      <c r="AB313" s="141" t="s">
        <v>1802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4"/>
      <c r="F314" s="146" t="str">
        <f t="shared" si="27"/>
        <v/>
      </c>
      <c r="G314" s="183"/>
      <c r="H314" s="183"/>
      <c r="I314" s="183"/>
      <c r="J314" s="199"/>
      <c r="K314" s="198"/>
      <c r="L314" s="198"/>
      <c r="M314" s="199"/>
      <c r="N314" s="199"/>
      <c r="P314" s="141" t="str">
        <f t="shared" si="28"/>
        <v/>
      </c>
      <c r="Q314" s="141" t="str">
        <f t="shared" si="29"/>
        <v/>
      </c>
      <c r="AA314" s="141" t="s">
        <v>1803</v>
      </c>
      <c r="AB314" s="141" t="s">
        <v>1804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4"/>
      <c r="F315" s="146" t="str">
        <f t="shared" si="27"/>
        <v/>
      </c>
      <c r="G315" s="183"/>
      <c r="H315" s="183"/>
      <c r="I315" s="183"/>
      <c r="J315" s="199"/>
      <c r="K315" s="198"/>
      <c r="L315" s="198"/>
      <c r="M315" s="199"/>
      <c r="N315" s="199"/>
      <c r="P315" s="141" t="str">
        <f t="shared" si="28"/>
        <v/>
      </c>
      <c r="Q315" s="141" t="str">
        <f t="shared" si="29"/>
        <v/>
      </c>
      <c r="AA315" s="141" t="s">
        <v>1805</v>
      </c>
      <c r="AB315" s="141" t="s">
        <v>1806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4"/>
      <c r="F316" s="146" t="str">
        <f t="shared" si="27"/>
        <v/>
      </c>
      <c r="G316" s="183"/>
      <c r="H316" s="183"/>
      <c r="I316" s="183"/>
      <c r="J316" s="199"/>
      <c r="K316" s="198"/>
      <c r="L316" s="198"/>
      <c r="M316" s="199"/>
      <c r="N316" s="199"/>
      <c r="P316" s="141" t="str">
        <f t="shared" si="28"/>
        <v/>
      </c>
      <c r="Q316" s="141" t="str">
        <f t="shared" si="29"/>
        <v/>
      </c>
      <c r="AA316" s="141" t="s">
        <v>1807</v>
      </c>
      <c r="AB316" s="141" t="s">
        <v>1808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4"/>
      <c r="F317" s="146" t="str">
        <f t="shared" si="27"/>
        <v/>
      </c>
      <c r="G317" s="183"/>
      <c r="H317" s="183"/>
      <c r="I317" s="183"/>
      <c r="J317" s="199"/>
      <c r="K317" s="198"/>
      <c r="L317" s="198"/>
      <c r="M317" s="199"/>
      <c r="N317" s="199"/>
      <c r="P317" s="141" t="str">
        <f t="shared" si="28"/>
        <v/>
      </c>
      <c r="Q317" s="141" t="str">
        <f t="shared" si="29"/>
        <v/>
      </c>
      <c r="AA317" s="141" t="s">
        <v>1809</v>
      </c>
      <c r="AB317" s="141" t="s">
        <v>1810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4"/>
      <c r="F318" s="146" t="str">
        <f t="shared" si="27"/>
        <v/>
      </c>
      <c r="G318" s="183"/>
      <c r="H318" s="183"/>
      <c r="I318" s="183"/>
      <c r="J318" s="199"/>
      <c r="K318" s="198"/>
      <c r="L318" s="198"/>
      <c r="M318" s="199"/>
      <c r="N318" s="199"/>
      <c r="P318" s="141" t="str">
        <f t="shared" si="28"/>
        <v/>
      </c>
      <c r="Q318" s="141" t="str">
        <f t="shared" si="29"/>
        <v/>
      </c>
      <c r="AA318" s="141" t="s">
        <v>1811</v>
      </c>
      <c r="AB318" s="141" t="s">
        <v>1812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4"/>
      <c r="F319" s="146" t="str">
        <f t="shared" si="27"/>
        <v/>
      </c>
      <c r="G319" s="183"/>
      <c r="H319" s="183"/>
      <c r="I319" s="183"/>
      <c r="J319" s="199"/>
      <c r="K319" s="198"/>
      <c r="L319" s="198"/>
      <c r="M319" s="199"/>
      <c r="N319" s="199"/>
      <c r="P319" s="141" t="str">
        <f t="shared" si="28"/>
        <v/>
      </c>
      <c r="Q319" s="141" t="str">
        <f t="shared" si="29"/>
        <v/>
      </c>
      <c r="AA319" s="141" t="s">
        <v>1813</v>
      </c>
      <c r="AB319" s="141" t="s">
        <v>1814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4"/>
      <c r="F320" s="146" t="str">
        <f t="shared" si="27"/>
        <v/>
      </c>
      <c r="G320" s="183"/>
      <c r="H320" s="183"/>
      <c r="I320" s="183"/>
      <c r="J320" s="199"/>
      <c r="K320" s="198"/>
      <c r="L320" s="198"/>
      <c r="M320" s="199"/>
      <c r="N320" s="199"/>
      <c r="P320" s="141" t="str">
        <f t="shared" si="28"/>
        <v/>
      </c>
      <c r="Q320" s="141" t="str">
        <f t="shared" si="29"/>
        <v/>
      </c>
      <c r="AA320" s="141" t="s">
        <v>1815</v>
      </c>
      <c r="AB320" s="141" t="s">
        <v>1816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4"/>
      <c r="F321" s="146" t="str">
        <f t="shared" si="27"/>
        <v/>
      </c>
      <c r="G321" s="183"/>
      <c r="H321" s="183"/>
      <c r="I321" s="183"/>
      <c r="J321" s="199"/>
      <c r="K321" s="198"/>
      <c r="L321" s="198"/>
      <c r="M321" s="199"/>
      <c r="N321" s="199"/>
      <c r="P321" s="141" t="str">
        <f t="shared" si="28"/>
        <v/>
      </c>
      <c r="Q321" s="141" t="str">
        <f t="shared" si="29"/>
        <v/>
      </c>
      <c r="AA321" s="141" t="s">
        <v>1817</v>
      </c>
      <c r="AB321" s="141" t="s">
        <v>1818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4"/>
      <c r="F322" s="146" t="str">
        <f t="shared" si="27"/>
        <v/>
      </c>
      <c r="G322" s="183"/>
      <c r="H322" s="183"/>
      <c r="I322" s="183"/>
      <c r="J322" s="199"/>
      <c r="K322" s="198"/>
      <c r="L322" s="198"/>
      <c r="M322" s="199"/>
      <c r="N322" s="199"/>
      <c r="P322" s="141" t="str">
        <f t="shared" si="28"/>
        <v/>
      </c>
      <c r="Q322" s="141" t="str">
        <f t="shared" si="29"/>
        <v/>
      </c>
      <c r="AA322" s="141" t="s">
        <v>1819</v>
      </c>
      <c r="AB322" s="141" t="s">
        <v>1820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4"/>
      <c r="F323" s="146" t="str">
        <f t="shared" si="27"/>
        <v/>
      </c>
      <c r="G323" s="183"/>
      <c r="H323" s="183"/>
      <c r="I323" s="183"/>
      <c r="J323" s="199"/>
      <c r="K323" s="198"/>
      <c r="L323" s="198"/>
      <c r="M323" s="199"/>
      <c r="N323" s="199"/>
      <c r="P323" s="141" t="str">
        <f t="shared" si="28"/>
        <v/>
      </c>
      <c r="Q323" s="141" t="str">
        <f t="shared" si="29"/>
        <v/>
      </c>
      <c r="AA323" s="141" t="s">
        <v>1821</v>
      </c>
      <c r="AB323" s="141" t="s">
        <v>1822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4"/>
      <c r="F324" s="146" t="str">
        <f t="shared" ref="F324:F387" si="32">IFERROR(VLOOKUP(E324,$AA$5:$AB$500,2,FALSE),"")</f>
        <v/>
      </c>
      <c r="G324" s="183"/>
      <c r="H324" s="183"/>
      <c r="I324" s="183"/>
      <c r="J324" s="199"/>
      <c r="K324" s="198"/>
      <c r="L324" s="198"/>
      <c r="M324" s="199"/>
      <c r="N324" s="199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1823</v>
      </c>
      <c r="AB324" s="141" t="s">
        <v>1824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4"/>
      <c r="F325" s="146" t="str">
        <f t="shared" si="32"/>
        <v/>
      </c>
      <c r="G325" s="183"/>
      <c r="H325" s="183"/>
      <c r="I325" s="183"/>
      <c r="J325" s="199"/>
      <c r="K325" s="198"/>
      <c r="L325" s="198"/>
      <c r="M325" s="199"/>
      <c r="N325" s="199"/>
      <c r="P325" s="141" t="str">
        <f t="shared" si="33"/>
        <v/>
      </c>
      <c r="Q325" s="141" t="str">
        <f t="shared" si="34"/>
        <v/>
      </c>
      <c r="AA325" s="141" t="s">
        <v>1825</v>
      </c>
      <c r="AB325" s="141" t="s">
        <v>1826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4"/>
      <c r="F326" s="146" t="str">
        <f t="shared" si="32"/>
        <v/>
      </c>
      <c r="G326" s="183"/>
      <c r="H326" s="183"/>
      <c r="I326" s="183"/>
      <c r="J326" s="199"/>
      <c r="K326" s="198"/>
      <c r="L326" s="198"/>
      <c r="M326" s="199"/>
      <c r="N326" s="199"/>
      <c r="P326" s="141" t="str">
        <f t="shared" si="33"/>
        <v/>
      </c>
      <c r="Q326" s="141" t="str">
        <f t="shared" si="34"/>
        <v/>
      </c>
      <c r="AA326" s="141" t="s">
        <v>1827</v>
      </c>
      <c r="AB326" s="141" t="s">
        <v>1828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4"/>
      <c r="F327" s="146" t="str">
        <f t="shared" si="32"/>
        <v/>
      </c>
      <c r="G327" s="183"/>
      <c r="H327" s="183"/>
      <c r="I327" s="183"/>
      <c r="J327" s="199"/>
      <c r="K327" s="198"/>
      <c r="L327" s="198"/>
      <c r="M327" s="199"/>
      <c r="N327" s="199"/>
      <c r="P327" s="141" t="str">
        <f t="shared" si="33"/>
        <v/>
      </c>
      <c r="Q327" s="141" t="str">
        <f t="shared" si="34"/>
        <v/>
      </c>
      <c r="AA327" s="141" t="s">
        <v>1829</v>
      </c>
      <c r="AB327" s="141" t="s">
        <v>1830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4"/>
      <c r="F328" s="146" t="str">
        <f t="shared" si="32"/>
        <v/>
      </c>
      <c r="G328" s="183"/>
      <c r="H328" s="183"/>
      <c r="I328" s="183"/>
      <c r="J328" s="199"/>
      <c r="K328" s="198"/>
      <c r="L328" s="198"/>
      <c r="M328" s="199"/>
      <c r="N328" s="199"/>
      <c r="P328" s="141" t="str">
        <f t="shared" si="33"/>
        <v/>
      </c>
      <c r="Q328" s="141" t="str">
        <f t="shared" si="34"/>
        <v/>
      </c>
      <c r="AA328" s="141" t="s">
        <v>1831</v>
      </c>
      <c r="AB328" s="141" t="s">
        <v>1832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4"/>
      <c r="F329" s="146" t="str">
        <f t="shared" si="32"/>
        <v/>
      </c>
      <c r="G329" s="183"/>
      <c r="H329" s="183"/>
      <c r="I329" s="183"/>
      <c r="J329" s="199"/>
      <c r="K329" s="198"/>
      <c r="L329" s="198"/>
      <c r="M329" s="199"/>
      <c r="N329" s="199"/>
      <c r="P329" s="141" t="str">
        <f t="shared" si="33"/>
        <v/>
      </c>
      <c r="Q329" s="141" t="str">
        <f t="shared" si="34"/>
        <v/>
      </c>
      <c r="AA329" s="141" t="s">
        <v>1833</v>
      </c>
      <c r="AB329" s="141" t="s">
        <v>1834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4"/>
      <c r="F330" s="146" t="str">
        <f t="shared" si="32"/>
        <v/>
      </c>
      <c r="G330" s="183"/>
      <c r="H330" s="183"/>
      <c r="I330" s="183"/>
      <c r="J330" s="199"/>
      <c r="K330" s="198"/>
      <c r="L330" s="198"/>
      <c r="M330" s="199"/>
      <c r="N330" s="199"/>
      <c r="P330" s="141" t="str">
        <f t="shared" si="33"/>
        <v/>
      </c>
      <c r="Q330" s="141" t="str">
        <f t="shared" si="34"/>
        <v/>
      </c>
      <c r="AA330" s="141" t="s">
        <v>1835</v>
      </c>
      <c r="AB330" s="141" t="s">
        <v>1836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4"/>
      <c r="F331" s="146" t="str">
        <f t="shared" si="32"/>
        <v/>
      </c>
      <c r="G331" s="183"/>
      <c r="H331" s="183"/>
      <c r="I331" s="183"/>
      <c r="J331" s="199"/>
      <c r="K331" s="198"/>
      <c r="L331" s="198"/>
      <c r="M331" s="199"/>
      <c r="N331" s="199"/>
      <c r="P331" s="141" t="str">
        <f t="shared" si="33"/>
        <v/>
      </c>
      <c r="Q331" s="141" t="str">
        <f t="shared" si="34"/>
        <v/>
      </c>
      <c r="AA331" s="141" t="s">
        <v>1837</v>
      </c>
      <c r="AB331" s="141" t="s">
        <v>1838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4"/>
      <c r="F332" s="146" t="str">
        <f t="shared" si="32"/>
        <v/>
      </c>
      <c r="G332" s="183"/>
      <c r="H332" s="183"/>
      <c r="I332" s="183"/>
      <c r="J332" s="199"/>
      <c r="K332" s="198"/>
      <c r="L332" s="198"/>
      <c r="M332" s="199"/>
      <c r="N332" s="199"/>
      <c r="P332" s="141" t="str">
        <f t="shared" si="33"/>
        <v/>
      </c>
      <c r="Q332" s="141" t="str">
        <f t="shared" si="34"/>
        <v/>
      </c>
      <c r="AA332" s="141" t="s">
        <v>1839</v>
      </c>
      <c r="AB332" s="141" t="s">
        <v>1840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4"/>
      <c r="F333" s="146" t="str">
        <f t="shared" si="32"/>
        <v/>
      </c>
      <c r="G333" s="183"/>
      <c r="H333" s="183"/>
      <c r="I333" s="183"/>
      <c r="J333" s="199"/>
      <c r="K333" s="198"/>
      <c r="L333" s="198"/>
      <c r="M333" s="199"/>
      <c r="N333" s="199"/>
      <c r="P333" s="141" t="str">
        <f t="shared" si="33"/>
        <v/>
      </c>
      <c r="Q333" s="141" t="str">
        <f t="shared" si="34"/>
        <v/>
      </c>
      <c r="AA333" s="141" t="s">
        <v>1841</v>
      </c>
      <c r="AB333" s="141" t="s">
        <v>1842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4"/>
      <c r="F334" s="146" t="str">
        <f t="shared" si="32"/>
        <v/>
      </c>
      <c r="G334" s="183"/>
      <c r="H334" s="183"/>
      <c r="I334" s="183"/>
      <c r="J334" s="199"/>
      <c r="K334" s="198"/>
      <c r="L334" s="198"/>
      <c r="M334" s="199"/>
      <c r="N334" s="199"/>
      <c r="P334" s="141" t="str">
        <f t="shared" si="33"/>
        <v/>
      </c>
      <c r="Q334" s="141" t="str">
        <f t="shared" si="34"/>
        <v/>
      </c>
      <c r="AA334" s="141" t="s">
        <v>1843</v>
      </c>
      <c r="AB334" s="141" t="s">
        <v>1844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4"/>
      <c r="F335" s="146" t="str">
        <f t="shared" si="32"/>
        <v/>
      </c>
      <c r="G335" s="183"/>
      <c r="H335" s="183"/>
      <c r="I335" s="183"/>
      <c r="J335" s="199"/>
      <c r="K335" s="198"/>
      <c r="L335" s="198"/>
      <c r="M335" s="199"/>
      <c r="N335" s="199"/>
      <c r="P335" s="141" t="str">
        <f t="shared" si="33"/>
        <v/>
      </c>
      <c r="Q335" s="141" t="str">
        <f t="shared" si="34"/>
        <v/>
      </c>
      <c r="AA335" s="141" t="s">
        <v>1845</v>
      </c>
      <c r="AB335" s="141" t="s">
        <v>1846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4"/>
      <c r="F336" s="146" t="str">
        <f t="shared" si="32"/>
        <v/>
      </c>
      <c r="G336" s="183"/>
      <c r="H336" s="183"/>
      <c r="I336" s="183"/>
      <c r="J336" s="199"/>
      <c r="K336" s="198"/>
      <c r="L336" s="198"/>
      <c r="M336" s="199"/>
      <c r="N336" s="199"/>
      <c r="P336" s="141" t="str">
        <f t="shared" si="33"/>
        <v/>
      </c>
      <c r="Q336" s="141" t="str">
        <f t="shared" si="34"/>
        <v/>
      </c>
      <c r="AA336" s="141" t="s">
        <v>1847</v>
      </c>
      <c r="AB336" s="141" t="s">
        <v>1848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4"/>
      <c r="F337" s="146" t="str">
        <f t="shared" si="32"/>
        <v/>
      </c>
      <c r="G337" s="183"/>
      <c r="H337" s="183"/>
      <c r="I337" s="183"/>
      <c r="J337" s="199"/>
      <c r="K337" s="198"/>
      <c r="L337" s="198"/>
      <c r="M337" s="199"/>
      <c r="N337" s="199"/>
      <c r="P337" s="141" t="str">
        <f t="shared" si="33"/>
        <v/>
      </c>
      <c r="Q337" s="141" t="str">
        <f t="shared" si="34"/>
        <v/>
      </c>
      <c r="AA337" s="141" t="s">
        <v>1849</v>
      </c>
      <c r="AB337" s="141" t="s">
        <v>1850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4"/>
      <c r="F338" s="146" t="str">
        <f t="shared" si="32"/>
        <v/>
      </c>
      <c r="G338" s="183"/>
      <c r="H338" s="183"/>
      <c r="I338" s="183"/>
      <c r="J338" s="199"/>
      <c r="K338" s="198"/>
      <c r="L338" s="198"/>
      <c r="M338" s="199"/>
      <c r="N338" s="199"/>
      <c r="P338" s="141" t="str">
        <f t="shared" si="33"/>
        <v/>
      </c>
      <c r="Q338" s="141" t="str">
        <f t="shared" si="34"/>
        <v/>
      </c>
      <c r="AA338" s="141" t="s">
        <v>1851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4"/>
      <c r="F339" s="146" t="str">
        <f t="shared" si="32"/>
        <v/>
      </c>
      <c r="G339" s="183"/>
      <c r="H339" s="183"/>
      <c r="I339" s="183"/>
      <c r="J339" s="199"/>
      <c r="K339" s="198"/>
      <c r="L339" s="198"/>
      <c r="M339" s="199"/>
      <c r="N339" s="199"/>
      <c r="P339" s="141" t="str">
        <f t="shared" si="33"/>
        <v/>
      </c>
      <c r="Q339" s="141" t="str">
        <f t="shared" si="34"/>
        <v/>
      </c>
      <c r="AA339" s="141" t="s">
        <v>1852</v>
      </c>
      <c r="AB339" s="141" t="s">
        <v>1853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4"/>
      <c r="F340" s="146" t="str">
        <f t="shared" si="32"/>
        <v/>
      </c>
      <c r="G340" s="183"/>
      <c r="H340" s="183"/>
      <c r="I340" s="183"/>
      <c r="J340" s="199"/>
      <c r="K340" s="198"/>
      <c r="L340" s="198"/>
      <c r="M340" s="199"/>
      <c r="N340" s="199"/>
      <c r="P340" s="141" t="str">
        <f t="shared" si="33"/>
        <v/>
      </c>
      <c r="Q340" s="141" t="str">
        <f t="shared" si="34"/>
        <v/>
      </c>
      <c r="AA340" s="141" t="s">
        <v>1854</v>
      </c>
      <c r="AB340" s="141" t="s">
        <v>1855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4"/>
      <c r="F341" s="146" t="str">
        <f t="shared" si="32"/>
        <v/>
      </c>
      <c r="G341" s="183"/>
      <c r="H341" s="183"/>
      <c r="I341" s="183"/>
      <c r="J341" s="199"/>
      <c r="K341" s="198"/>
      <c r="L341" s="198"/>
      <c r="M341" s="199"/>
      <c r="N341" s="199"/>
      <c r="P341" s="141" t="str">
        <f t="shared" si="33"/>
        <v/>
      </c>
      <c r="Q341" s="141" t="str">
        <f t="shared" si="34"/>
        <v/>
      </c>
      <c r="AA341" s="141" t="s">
        <v>1856</v>
      </c>
      <c r="AB341" s="141" t="s">
        <v>1857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4"/>
      <c r="F342" s="146" t="str">
        <f t="shared" si="32"/>
        <v/>
      </c>
      <c r="G342" s="183"/>
      <c r="H342" s="183"/>
      <c r="I342" s="183"/>
      <c r="J342" s="199"/>
      <c r="K342" s="198"/>
      <c r="L342" s="198"/>
      <c r="M342" s="199"/>
      <c r="N342" s="199"/>
      <c r="P342" s="141" t="str">
        <f t="shared" si="33"/>
        <v/>
      </c>
      <c r="Q342" s="141" t="str">
        <f t="shared" si="34"/>
        <v/>
      </c>
      <c r="AA342" s="141" t="s">
        <v>1858</v>
      </c>
      <c r="AB342" s="141" t="s">
        <v>1859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4"/>
      <c r="F343" s="146" t="str">
        <f t="shared" si="32"/>
        <v/>
      </c>
      <c r="G343" s="183"/>
      <c r="H343" s="183"/>
      <c r="I343" s="183"/>
      <c r="J343" s="199"/>
      <c r="K343" s="198"/>
      <c r="L343" s="198"/>
      <c r="M343" s="199"/>
      <c r="N343" s="199"/>
      <c r="P343" s="141" t="str">
        <f t="shared" si="33"/>
        <v/>
      </c>
      <c r="Q343" s="141" t="str">
        <f t="shared" si="34"/>
        <v/>
      </c>
      <c r="AA343" s="141" t="s">
        <v>1860</v>
      </c>
      <c r="AB343" s="141" t="s">
        <v>1861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4"/>
      <c r="F344" s="146" t="str">
        <f t="shared" si="32"/>
        <v/>
      </c>
      <c r="G344" s="183"/>
      <c r="H344" s="183"/>
      <c r="I344" s="183"/>
      <c r="J344" s="199"/>
      <c r="K344" s="198"/>
      <c r="L344" s="198"/>
      <c r="M344" s="199"/>
      <c r="N344" s="199"/>
      <c r="P344" s="141" t="str">
        <f t="shared" si="33"/>
        <v/>
      </c>
      <c r="Q344" s="141" t="str">
        <f t="shared" si="34"/>
        <v/>
      </c>
      <c r="AA344" s="141" t="s">
        <v>1862</v>
      </c>
      <c r="AB344" s="141" t="s">
        <v>1863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4"/>
      <c r="F345" s="146" t="str">
        <f t="shared" si="32"/>
        <v/>
      </c>
      <c r="G345" s="183"/>
      <c r="H345" s="183"/>
      <c r="I345" s="183"/>
      <c r="J345" s="199"/>
      <c r="K345" s="198"/>
      <c r="L345" s="198"/>
      <c r="M345" s="199"/>
      <c r="N345" s="199"/>
      <c r="P345" s="141" t="str">
        <f t="shared" si="33"/>
        <v/>
      </c>
      <c r="Q345" s="141" t="str">
        <f t="shared" si="34"/>
        <v/>
      </c>
      <c r="AA345" s="141" t="s">
        <v>1864</v>
      </c>
      <c r="AB345" s="141" t="s">
        <v>1865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4"/>
      <c r="F346" s="146" t="str">
        <f t="shared" si="32"/>
        <v/>
      </c>
      <c r="G346" s="183"/>
      <c r="H346" s="183"/>
      <c r="I346" s="183"/>
      <c r="J346" s="199"/>
      <c r="K346" s="198"/>
      <c r="L346" s="198"/>
      <c r="M346" s="199"/>
      <c r="N346" s="199"/>
      <c r="P346" s="141" t="str">
        <f t="shared" si="33"/>
        <v/>
      </c>
      <c r="Q346" s="141" t="str">
        <f t="shared" si="34"/>
        <v/>
      </c>
      <c r="AA346" s="141" t="s">
        <v>1866</v>
      </c>
      <c r="AB346" s="141" t="s">
        <v>1867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4"/>
      <c r="F347" s="146" t="str">
        <f t="shared" si="32"/>
        <v/>
      </c>
      <c r="G347" s="183"/>
      <c r="H347" s="183"/>
      <c r="I347" s="183"/>
      <c r="J347" s="199"/>
      <c r="K347" s="198"/>
      <c r="L347" s="198"/>
      <c r="M347" s="199"/>
      <c r="N347" s="199"/>
      <c r="P347" s="141" t="str">
        <f t="shared" si="33"/>
        <v/>
      </c>
      <c r="Q347" s="141" t="str">
        <f t="shared" si="34"/>
        <v/>
      </c>
      <c r="AA347" s="141" t="s">
        <v>1868</v>
      </c>
      <c r="AB347" s="141" t="s">
        <v>1869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4"/>
      <c r="F348" s="146" t="str">
        <f t="shared" si="32"/>
        <v/>
      </c>
      <c r="G348" s="183"/>
      <c r="H348" s="183"/>
      <c r="I348" s="183"/>
      <c r="J348" s="199"/>
      <c r="K348" s="198"/>
      <c r="L348" s="198"/>
      <c r="M348" s="199"/>
      <c r="N348" s="199"/>
      <c r="P348" s="141" t="str">
        <f t="shared" si="33"/>
        <v/>
      </c>
      <c r="Q348" s="141" t="str">
        <f t="shared" si="34"/>
        <v/>
      </c>
      <c r="AA348" s="141" t="s">
        <v>1870</v>
      </c>
      <c r="AB348" s="141" t="s">
        <v>1871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4"/>
      <c r="F349" s="146" t="str">
        <f t="shared" si="32"/>
        <v/>
      </c>
      <c r="G349" s="183"/>
      <c r="H349" s="183"/>
      <c r="I349" s="183"/>
      <c r="J349" s="199"/>
      <c r="K349" s="198"/>
      <c r="L349" s="198"/>
      <c r="M349" s="199"/>
      <c r="N349" s="199"/>
      <c r="P349" s="141" t="str">
        <f t="shared" si="33"/>
        <v/>
      </c>
      <c r="Q349" s="141" t="str">
        <f t="shared" si="34"/>
        <v/>
      </c>
      <c r="AA349" s="141" t="s">
        <v>1872</v>
      </c>
      <c r="AB349" s="141" t="s">
        <v>1873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4"/>
      <c r="F350" s="146" t="str">
        <f t="shared" si="32"/>
        <v/>
      </c>
      <c r="G350" s="183"/>
      <c r="H350" s="183"/>
      <c r="I350" s="183"/>
      <c r="J350" s="199"/>
      <c r="K350" s="198"/>
      <c r="L350" s="198"/>
      <c r="M350" s="199"/>
      <c r="N350" s="199"/>
      <c r="P350" s="141" t="str">
        <f t="shared" si="33"/>
        <v/>
      </c>
      <c r="Q350" s="141" t="str">
        <f t="shared" si="34"/>
        <v/>
      </c>
      <c r="AA350" s="141" t="s">
        <v>1874</v>
      </c>
      <c r="AB350" s="141" t="s">
        <v>1875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4"/>
      <c r="F351" s="146" t="str">
        <f t="shared" si="32"/>
        <v/>
      </c>
      <c r="G351" s="183"/>
      <c r="H351" s="183"/>
      <c r="I351" s="183"/>
      <c r="J351" s="199"/>
      <c r="K351" s="198"/>
      <c r="L351" s="198"/>
      <c r="M351" s="199"/>
      <c r="N351" s="199"/>
      <c r="P351" s="141" t="str">
        <f t="shared" si="33"/>
        <v/>
      </c>
      <c r="Q351" s="141" t="str">
        <f t="shared" si="34"/>
        <v/>
      </c>
      <c r="AA351" s="141" t="s">
        <v>1876</v>
      </c>
      <c r="AB351" s="141" t="s">
        <v>1877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4"/>
      <c r="F352" s="146" t="str">
        <f t="shared" si="32"/>
        <v/>
      </c>
      <c r="G352" s="183"/>
      <c r="H352" s="183"/>
      <c r="I352" s="183"/>
      <c r="J352" s="199"/>
      <c r="K352" s="198"/>
      <c r="L352" s="198"/>
      <c r="M352" s="199"/>
      <c r="N352" s="199"/>
      <c r="P352" s="141" t="str">
        <f t="shared" si="33"/>
        <v/>
      </c>
      <c r="Q352" s="141" t="str">
        <f t="shared" si="34"/>
        <v/>
      </c>
      <c r="AA352" s="141" t="s">
        <v>1878</v>
      </c>
      <c r="AB352" s="141" t="s">
        <v>1879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4"/>
      <c r="F353" s="146" t="str">
        <f t="shared" si="32"/>
        <v/>
      </c>
      <c r="G353" s="183"/>
      <c r="H353" s="183"/>
      <c r="I353" s="183"/>
      <c r="J353" s="199"/>
      <c r="K353" s="198"/>
      <c r="L353" s="198"/>
      <c r="M353" s="199"/>
      <c r="N353" s="199"/>
      <c r="P353" s="141" t="str">
        <f t="shared" si="33"/>
        <v/>
      </c>
      <c r="Q353" s="141" t="str">
        <f t="shared" si="34"/>
        <v/>
      </c>
      <c r="AA353" s="141" t="s">
        <v>1880</v>
      </c>
      <c r="AB353" s="141" t="s">
        <v>1881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4"/>
      <c r="F354" s="146" t="str">
        <f t="shared" si="32"/>
        <v/>
      </c>
      <c r="G354" s="183"/>
      <c r="H354" s="183"/>
      <c r="I354" s="183"/>
      <c r="J354" s="199"/>
      <c r="K354" s="198"/>
      <c r="L354" s="198"/>
      <c r="M354" s="199"/>
      <c r="N354" s="199"/>
      <c r="P354" s="141" t="str">
        <f t="shared" si="33"/>
        <v/>
      </c>
      <c r="Q354" s="141" t="str">
        <f t="shared" si="34"/>
        <v/>
      </c>
      <c r="AA354" s="141" t="s">
        <v>1882</v>
      </c>
      <c r="AB354" s="141" t="s">
        <v>1883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4"/>
      <c r="F355" s="146" t="str">
        <f t="shared" si="32"/>
        <v/>
      </c>
      <c r="G355" s="183"/>
      <c r="H355" s="183"/>
      <c r="I355" s="183"/>
      <c r="J355" s="199"/>
      <c r="K355" s="198"/>
      <c r="L355" s="198"/>
      <c r="M355" s="199"/>
      <c r="N355" s="199"/>
      <c r="P355" s="141" t="str">
        <f t="shared" si="33"/>
        <v/>
      </c>
      <c r="Q355" s="141" t="str">
        <f t="shared" si="34"/>
        <v/>
      </c>
      <c r="AA355" s="141" t="s">
        <v>1884</v>
      </c>
      <c r="AB355" s="141" t="s">
        <v>1885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4"/>
      <c r="F356" s="146" t="str">
        <f t="shared" si="32"/>
        <v/>
      </c>
      <c r="G356" s="183"/>
      <c r="H356" s="183"/>
      <c r="I356" s="183"/>
      <c r="J356" s="199"/>
      <c r="K356" s="198"/>
      <c r="L356" s="198"/>
      <c r="M356" s="199"/>
      <c r="N356" s="199"/>
      <c r="P356" s="141" t="str">
        <f t="shared" si="33"/>
        <v/>
      </c>
      <c r="Q356" s="141" t="str">
        <f t="shared" si="34"/>
        <v/>
      </c>
      <c r="AA356" s="141" t="s">
        <v>1886</v>
      </c>
      <c r="AB356" s="141" t="s">
        <v>1887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4"/>
      <c r="F357" s="146" t="str">
        <f t="shared" si="32"/>
        <v/>
      </c>
      <c r="G357" s="183"/>
      <c r="H357" s="183"/>
      <c r="I357" s="183"/>
      <c r="J357" s="199"/>
      <c r="K357" s="198"/>
      <c r="L357" s="198"/>
      <c r="M357" s="199"/>
      <c r="N357" s="199"/>
      <c r="P357" s="141" t="str">
        <f t="shared" si="33"/>
        <v/>
      </c>
      <c r="Q357" s="141" t="str">
        <f t="shared" si="34"/>
        <v/>
      </c>
      <c r="AA357" s="141" t="s">
        <v>1888</v>
      </c>
      <c r="AB357" s="141" t="s">
        <v>1889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4"/>
      <c r="F358" s="146" t="str">
        <f t="shared" si="32"/>
        <v/>
      </c>
      <c r="G358" s="183"/>
      <c r="H358" s="183"/>
      <c r="I358" s="183"/>
      <c r="J358" s="199"/>
      <c r="K358" s="198"/>
      <c r="L358" s="198"/>
      <c r="M358" s="199"/>
      <c r="N358" s="199"/>
      <c r="P358" s="141" t="str">
        <f t="shared" si="33"/>
        <v/>
      </c>
      <c r="Q358" s="141" t="str">
        <f t="shared" si="34"/>
        <v/>
      </c>
      <c r="AA358" s="141" t="s">
        <v>1890</v>
      </c>
      <c r="AB358" s="141" t="s">
        <v>1891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4"/>
      <c r="F359" s="146" t="str">
        <f t="shared" si="32"/>
        <v/>
      </c>
      <c r="G359" s="183"/>
      <c r="H359" s="183"/>
      <c r="I359" s="183"/>
      <c r="J359" s="199"/>
      <c r="K359" s="198"/>
      <c r="L359" s="198"/>
      <c r="M359" s="199"/>
      <c r="N359" s="199"/>
      <c r="P359" s="141" t="str">
        <f t="shared" si="33"/>
        <v/>
      </c>
      <c r="Q359" s="141" t="str">
        <f t="shared" si="34"/>
        <v/>
      </c>
      <c r="AA359" s="141" t="s">
        <v>1892</v>
      </c>
      <c r="AB359" s="141" t="s">
        <v>1893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4"/>
      <c r="F360" s="146" t="str">
        <f t="shared" si="32"/>
        <v/>
      </c>
      <c r="G360" s="183"/>
      <c r="H360" s="183"/>
      <c r="I360" s="183"/>
      <c r="J360" s="199"/>
      <c r="K360" s="198"/>
      <c r="L360" s="198"/>
      <c r="M360" s="199"/>
      <c r="N360" s="199"/>
      <c r="P360" s="141" t="str">
        <f t="shared" si="33"/>
        <v/>
      </c>
      <c r="Q360" s="141" t="str">
        <f t="shared" si="34"/>
        <v/>
      </c>
      <c r="AA360" s="141" t="s">
        <v>1894</v>
      </c>
      <c r="AB360" s="141" t="s">
        <v>1895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4"/>
      <c r="F361" s="146" t="str">
        <f t="shared" si="32"/>
        <v/>
      </c>
      <c r="G361" s="183"/>
      <c r="H361" s="183"/>
      <c r="I361" s="183"/>
      <c r="J361" s="199"/>
      <c r="K361" s="198"/>
      <c r="L361" s="198"/>
      <c r="M361" s="199"/>
      <c r="N361" s="199"/>
      <c r="P361" s="141" t="str">
        <f t="shared" si="33"/>
        <v/>
      </c>
      <c r="Q361" s="141" t="str">
        <f t="shared" si="34"/>
        <v/>
      </c>
      <c r="AA361" s="141" t="s">
        <v>1896</v>
      </c>
      <c r="AB361" s="141" t="s">
        <v>1897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4"/>
      <c r="F362" s="146" t="str">
        <f t="shared" si="32"/>
        <v/>
      </c>
      <c r="G362" s="183"/>
      <c r="H362" s="183"/>
      <c r="I362" s="183"/>
      <c r="J362" s="199"/>
      <c r="K362" s="198"/>
      <c r="L362" s="198"/>
      <c r="M362" s="199"/>
      <c r="N362" s="199"/>
      <c r="P362" s="141" t="str">
        <f t="shared" si="33"/>
        <v/>
      </c>
      <c r="Q362" s="141" t="str">
        <f t="shared" si="34"/>
        <v/>
      </c>
      <c r="AA362" s="141" t="s">
        <v>1898</v>
      </c>
      <c r="AB362" s="141" t="s">
        <v>1899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4"/>
      <c r="F363" s="146" t="str">
        <f t="shared" si="32"/>
        <v/>
      </c>
      <c r="G363" s="183"/>
      <c r="H363" s="183"/>
      <c r="I363" s="183"/>
      <c r="J363" s="199"/>
      <c r="K363" s="198"/>
      <c r="L363" s="198"/>
      <c r="M363" s="199"/>
      <c r="N363" s="199"/>
      <c r="P363" s="141" t="str">
        <f t="shared" si="33"/>
        <v/>
      </c>
      <c r="Q363" s="141" t="str">
        <f t="shared" si="34"/>
        <v/>
      </c>
      <c r="AA363" s="141" t="s">
        <v>1900</v>
      </c>
      <c r="AB363" s="141" t="s">
        <v>1901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4"/>
      <c r="F364" s="146" t="str">
        <f t="shared" si="32"/>
        <v/>
      </c>
      <c r="G364" s="183"/>
      <c r="H364" s="183"/>
      <c r="I364" s="183"/>
      <c r="J364" s="199"/>
      <c r="K364" s="198"/>
      <c r="L364" s="198"/>
      <c r="M364" s="199"/>
      <c r="N364" s="199"/>
      <c r="P364" s="141" t="str">
        <f t="shared" si="33"/>
        <v/>
      </c>
      <c r="Q364" s="141" t="str">
        <f t="shared" si="34"/>
        <v/>
      </c>
      <c r="AA364" s="141" t="s">
        <v>1902</v>
      </c>
      <c r="AB364" s="141" t="s">
        <v>1903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4"/>
      <c r="F365" s="146" t="str">
        <f t="shared" si="32"/>
        <v/>
      </c>
      <c r="G365" s="183"/>
      <c r="H365" s="183"/>
      <c r="I365" s="183"/>
      <c r="J365" s="199"/>
      <c r="K365" s="198"/>
      <c r="L365" s="198"/>
      <c r="M365" s="199"/>
      <c r="N365" s="199"/>
      <c r="P365" s="141" t="str">
        <f t="shared" si="33"/>
        <v/>
      </c>
      <c r="Q365" s="141" t="str">
        <f t="shared" si="34"/>
        <v/>
      </c>
      <c r="AA365" s="141" t="s">
        <v>1904</v>
      </c>
      <c r="AB365" s="141" t="s">
        <v>1905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4"/>
      <c r="F366" s="146" t="str">
        <f t="shared" si="32"/>
        <v/>
      </c>
      <c r="G366" s="183"/>
      <c r="H366" s="183"/>
      <c r="I366" s="183"/>
      <c r="J366" s="199"/>
      <c r="K366" s="198"/>
      <c r="L366" s="198"/>
      <c r="M366" s="199"/>
      <c r="N366" s="199"/>
      <c r="P366" s="141" t="str">
        <f t="shared" si="33"/>
        <v/>
      </c>
      <c r="Q366" s="141" t="str">
        <f t="shared" si="34"/>
        <v/>
      </c>
      <c r="AA366" s="141" t="s">
        <v>1906</v>
      </c>
      <c r="AB366" s="141" t="s">
        <v>1907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4"/>
      <c r="F367" s="146" t="str">
        <f t="shared" si="32"/>
        <v/>
      </c>
      <c r="G367" s="183"/>
      <c r="H367" s="183"/>
      <c r="I367" s="183"/>
      <c r="J367" s="199"/>
      <c r="K367" s="198"/>
      <c r="L367" s="198"/>
      <c r="M367" s="199"/>
      <c r="N367" s="199"/>
      <c r="P367" s="141" t="str">
        <f t="shared" si="33"/>
        <v/>
      </c>
      <c r="Q367" s="141" t="str">
        <f t="shared" si="34"/>
        <v/>
      </c>
      <c r="AA367" s="141" t="s">
        <v>1908</v>
      </c>
      <c r="AB367" s="141" t="s">
        <v>1909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4"/>
      <c r="F368" s="146" t="str">
        <f t="shared" si="32"/>
        <v/>
      </c>
      <c r="G368" s="183"/>
      <c r="H368" s="183"/>
      <c r="I368" s="183"/>
      <c r="J368" s="199"/>
      <c r="K368" s="198"/>
      <c r="L368" s="198"/>
      <c r="M368" s="199"/>
      <c r="N368" s="199"/>
      <c r="P368" s="141" t="str">
        <f t="shared" si="33"/>
        <v/>
      </c>
      <c r="Q368" s="141" t="str">
        <f t="shared" si="34"/>
        <v/>
      </c>
      <c r="AA368" s="141" t="s">
        <v>1910</v>
      </c>
      <c r="AB368" s="141" t="s">
        <v>1911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4"/>
      <c r="F369" s="146" t="str">
        <f t="shared" si="32"/>
        <v/>
      </c>
      <c r="G369" s="183"/>
      <c r="H369" s="183"/>
      <c r="I369" s="183"/>
      <c r="J369" s="199"/>
      <c r="K369" s="198"/>
      <c r="L369" s="198"/>
      <c r="M369" s="199"/>
      <c r="N369" s="199"/>
      <c r="P369" s="141" t="str">
        <f t="shared" si="33"/>
        <v/>
      </c>
      <c r="Q369" s="141" t="str">
        <f t="shared" si="34"/>
        <v/>
      </c>
      <c r="AA369" s="141" t="s">
        <v>1912</v>
      </c>
      <c r="AB369" s="141" t="s">
        <v>1913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4"/>
      <c r="F370" s="146" t="str">
        <f t="shared" si="32"/>
        <v/>
      </c>
      <c r="G370" s="183"/>
      <c r="H370" s="183"/>
      <c r="I370" s="183"/>
      <c r="J370" s="199"/>
      <c r="K370" s="198"/>
      <c r="L370" s="198"/>
      <c r="M370" s="199"/>
      <c r="N370" s="199"/>
      <c r="P370" s="141" t="str">
        <f t="shared" si="33"/>
        <v/>
      </c>
      <c r="Q370" s="141" t="str">
        <f t="shared" si="34"/>
        <v/>
      </c>
      <c r="AA370" s="141" t="s">
        <v>1914</v>
      </c>
      <c r="AB370" s="141" t="s">
        <v>1915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4"/>
      <c r="F371" s="146" t="str">
        <f t="shared" si="32"/>
        <v/>
      </c>
      <c r="G371" s="183"/>
      <c r="H371" s="183"/>
      <c r="I371" s="183"/>
      <c r="J371" s="199"/>
      <c r="K371" s="198"/>
      <c r="L371" s="198"/>
      <c r="M371" s="199"/>
      <c r="N371" s="199"/>
      <c r="P371" s="141" t="str">
        <f t="shared" si="33"/>
        <v/>
      </c>
      <c r="Q371" s="141" t="str">
        <f t="shared" si="34"/>
        <v/>
      </c>
      <c r="AA371" s="141" t="s">
        <v>1916</v>
      </c>
      <c r="AB371" s="141" t="s">
        <v>1917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4"/>
      <c r="F372" s="146" t="str">
        <f t="shared" si="32"/>
        <v/>
      </c>
      <c r="G372" s="183"/>
      <c r="H372" s="183"/>
      <c r="I372" s="183"/>
      <c r="J372" s="199"/>
      <c r="K372" s="198"/>
      <c r="L372" s="198"/>
      <c r="M372" s="199"/>
      <c r="N372" s="199"/>
      <c r="P372" s="141" t="str">
        <f t="shared" si="33"/>
        <v/>
      </c>
      <c r="Q372" s="141" t="str">
        <f t="shared" si="34"/>
        <v/>
      </c>
      <c r="AA372" s="141" t="s">
        <v>1918</v>
      </c>
      <c r="AB372" s="141" t="s">
        <v>1919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4"/>
      <c r="F373" s="146" t="str">
        <f t="shared" si="32"/>
        <v/>
      </c>
      <c r="G373" s="183"/>
      <c r="H373" s="183"/>
      <c r="I373" s="183"/>
      <c r="J373" s="199"/>
      <c r="K373" s="198"/>
      <c r="L373" s="198"/>
      <c r="M373" s="199"/>
      <c r="N373" s="199"/>
      <c r="P373" s="141" t="str">
        <f t="shared" si="33"/>
        <v/>
      </c>
      <c r="Q373" s="141" t="str">
        <f t="shared" si="34"/>
        <v/>
      </c>
      <c r="AA373" s="141" t="s">
        <v>1920</v>
      </c>
      <c r="AB373" s="141" t="s">
        <v>1921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4"/>
      <c r="F374" s="146" t="str">
        <f t="shared" si="32"/>
        <v/>
      </c>
      <c r="G374" s="183"/>
      <c r="H374" s="183"/>
      <c r="I374" s="183"/>
      <c r="J374" s="199"/>
      <c r="K374" s="198"/>
      <c r="L374" s="198"/>
      <c r="M374" s="199"/>
      <c r="N374" s="199"/>
      <c r="P374" s="141" t="str">
        <f t="shared" si="33"/>
        <v/>
      </c>
      <c r="Q374" s="141" t="str">
        <f t="shared" si="34"/>
        <v/>
      </c>
      <c r="AA374" s="141" t="s">
        <v>1922</v>
      </c>
      <c r="AB374" s="141" t="s">
        <v>1923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4"/>
      <c r="F375" s="146" t="str">
        <f t="shared" si="32"/>
        <v/>
      </c>
      <c r="G375" s="183"/>
      <c r="H375" s="183"/>
      <c r="I375" s="183"/>
      <c r="J375" s="199"/>
      <c r="K375" s="198"/>
      <c r="L375" s="198"/>
      <c r="M375" s="199"/>
      <c r="N375" s="199"/>
      <c r="P375" s="141" t="str">
        <f t="shared" si="33"/>
        <v/>
      </c>
      <c r="Q375" s="141" t="str">
        <f t="shared" si="34"/>
        <v/>
      </c>
      <c r="AA375" s="141" t="s">
        <v>1924</v>
      </c>
      <c r="AB375" s="141" t="s">
        <v>1925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4"/>
      <c r="F376" s="146" t="str">
        <f t="shared" si="32"/>
        <v/>
      </c>
      <c r="G376" s="183"/>
      <c r="H376" s="183"/>
      <c r="I376" s="183"/>
      <c r="J376" s="199"/>
      <c r="K376" s="198"/>
      <c r="L376" s="198"/>
      <c r="M376" s="199"/>
      <c r="N376" s="199"/>
      <c r="P376" s="141" t="str">
        <f t="shared" si="33"/>
        <v/>
      </c>
      <c r="Q376" s="141" t="str">
        <f t="shared" si="34"/>
        <v/>
      </c>
      <c r="AA376" s="141" t="s">
        <v>1926</v>
      </c>
      <c r="AB376" s="141" t="s">
        <v>1251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4"/>
      <c r="F377" s="146" t="str">
        <f t="shared" si="32"/>
        <v/>
      </c>
      <c r="G377" s="183"/>
      <c r="H377" s="183"/>
      <c r="I377" s="183"/>
      <c r="J377" s="199"/>
      <c r="K377" s="198"/>
      <c r="L377" s="198"/>
      <c r="M377" s="199"/>
      <c r="N377" s="199"/>
      <c r="P377" s="141" t="str">
        <f t="shared" si="33"/>
        <v/>
      </c>
      <c r="Q377" s="141" t="str">
        <f t="shared" si="34"/>
        <v/>
      </c>
      <c r="AA377" s="141" t="s">
        <v>1927</v>
      </c>
      <c r="AB377" s="141" t="s">
        <v>1928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4"/>
      <c r="F378" s="146" t="str">
        <f t="shared" si="32"/>
        <v/>
      </c>
      <c r="G378" s="183"/>
      <c r="H378" s="183"/>
      <c r="I378" s="183"/>
      <c r="J378" s="199"/>
      <c r="K378" s="198"/>
      <c r="L378" s="198"/>
      <c r="M378" s="199"/>
      <c r="N378" s="199"/>
      <c r="P378" s="141" t="str">
        <f t="shared" si="33"/>
        <v/>
      </c>
      <c r="Q378" s="141" t="str">
        <f t="shared" si="34"/>
        <v/>
      </c>
      <c r="AA378" s="141" t="s">
        <v>1929</v>
      </c>
      <c r="AB378" s="141" t="s">
        <v>1930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4"/>
      <c r="F379" s="146" t="str">
        <f t="shared" si="32"/>
        <v/>
      </c>
      <c r="G379" s="183"/>
      <c r="H379" s="183"/>
      <c r="I379" s="183"/>
      <c r="J379" s="199"/>
      <c r="K379" s="198"/>
      <c r="L379" s="198"/>
      <c r="M379" s="199"/>
      <c r="N379" s="199"/>
      <c r="P379" s="141" t="str">
        <f t="shared" si="33"/>
        <v/>
      </c>
      <c r="Q379" s="141" t="str">
        <f t="shared" si="34"/>
        <v/>
      </c>
      <c r="AA379" s="141" t="s">
        <v>1931</v>
      </c>
      <c r="AB379" s="141" t="s">
        <v>1247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4"/>
      <c r="F380" s="146" t="str">
        <f t="shared" si="32"/>
        <v/>
      </c>
      <c r="G380" s="183"/>
      <c r="H380" s="183"/>
      <c r="I380" s="183"/>
      <c r="J380" s="199"/>
      <c r="K380" s="198"/>
      <c r="L380" s="198"/>
      <c r="M380" s="199"/>
      <c r="N380" s="199"/>
      <c r="P380" s="141" t="str">
        <f t="shared" si="33"/>
        <v/>
      </c>
      <c r="Q380" s="141" t="str">
        <f t="shared" si="34"/>
        <v/>
      </c>
      <c r="AA380" s="141" t="s">
        <v>1932</v>
      </c>
      <c r="AB380" s="141" t="s">
        <v>1205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4"/>
      <c r="F381" s="146" t="str">
        <f t="shared" si="32"/>
        <v/>
      </c>
      <c r="G381" s="183"/>
      <c r="H381" s="183"/>
      <c r="I381" s="183"/>
      <c r="J381" s="199"/>
      <c r="K381" s="198"/>
      <c r="L381" s="198"/>
      <c r="M381" s="199"/>
      <c r="N381" s="199"/>
      <c r="P381" s="141" t="str">
        <f t="shared" si="33"/>
        <v/>
      </c>
      <c r="Q381" s="141" t="str">
        <f t="shared" si="34"/>
        <v/>
      </c>
      <c r="AA381" s="141" t="s">
        <v>1933</v>
      </c>
      <c r="AB381" s="141" t="s">
        <v>1207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4"/>
      <c r="F382" s="146" t="str">
        <f t="shared" si="32"/>
        <v/>
      </c>
      <c r="G382" s="183"/>
      <c r="H382" s="183"/>
      <c r="I382" s="183"/>
      <c r="J382" s="199"/>
      <c r="K382" s="198"/>
      <c r="L382" s="198"/>
      <c r="M382" s="199"/>
      <c r="N382" s="199"/>
      <c r="P382" s="141" t="str">
        <f t="shared" si="33"/>
        <v/>
      </c>
      <c r="Q382" s="141" t="str">
        <f t="shared" si="34"/>
        <v/>
      </c>
      <c r="AA382" s="141" t="s">
        <v>1934</v>
      </c>
      <c r="AB382" s="141" t="s">
        <v>1209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4"/>
      <c r="F383" s="146" t="str">
        <f t="shared" si="32"/>
        <v/>
      </c>
      <c r="G383" s="183"/>
      <c r="H383" s="183"/>
      <c r="I383" s="183"/>
      <c r="J383" s="199"/>
      <c r="K383" s="198"/>
      <c r="L383" s="198"/>
      <c r="M383" s="199"/>
      <c r="N383" s="199"/>
      <c r="P383" s="141" t="str">
        <f t="shared" si="33"/>
        <v/>
      </c>
      <c r="Q383" s="141" t="str">
        <f t="shared" si="34"/>
        <v/>
      </c>
      <c r="AA383" s="141" t="s">
        <v>1935</v>
      </c>
      <c r="AB383" s="141" t="s">
        <v>1936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4"/>
      <c r="F384" s="146" t="str">
        <f t="shared" si="32"/>
        <v/>
      </c>
      <c r="G384" s="183"/>
      <c r="H384" s="183"/>
      <c r="I384" s="183"/>
      <c r="J384" s="199"/>
      <c r="K384" s="198"/>
      <c r="L384" s="198"/>
      <c r="M384" s="199"/>
      <c r="N384" s="199"/>
      <c r="P384" s="141" t="str">
        <f t="shared" si="33"/>
        <v/>
      </c>
      <c r="Q384" s="141" t="str">
        <f t="shared" si="34"/>
        <v/>
      </c>
      <c r="AA384" s="141" t="s">
        <v>1937</v>
      </c>
      <c r="AB384" s="141" t="s">
        <v>1938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4"/>
      <c r="F385" s="146" t="str">
        <f t="shared" si="32"/>
        <v/>
      </c>
      <c r="G385" s="183"/>
      <c r="H385" s="183"/>
      <c r="I385" s="183"/>
      <c r="J385" s="199"/>
      <c r="K385" s="198"/>
      <c r="L385" s="198"/>
      <c r="M385" s="199"/>
      <c r="N385" s="199"/>
      <c r="P385" s="141" t="str">
        <f t="shared" si="33"/>
        <v/>
      </c>
      <c r="Q385" s="141" t="str">
        <f t="shared" si="34"/>
        <v/>
      </c>
      <c r="AA385" s="141" t="s">
        <v>1939</v>
      </c>
      <c r="AB385" s="141" t="s">
        <v>1940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4"/>
      <c r="F386" s="146" t="str">
        <f t="shared" si="32"/>
        <v/>
      </c>
      <c r="G386" s="183"/>
      <c r="H386" s="183"/>
      <c r="I386" s="183"/>
      <c r="J386" s="199"/>
      <c r="K386" s="198"/>
      <c r="L386" s="198"/>
      <c r="M386" s="199"/>
      <c r="N386" s="199"/>
      <c r="P386" s="141" t="str">
        <f t="shared" si="33"/>
        <v/>
      </c>
      <c r="Q386" s="141" t="str">
        <f t="shared" si="34"/>
        <v/>
      </c>
      <c r="AA386" s="141" t="s">
        <v>1941</v>
      </c>
      <c r="AB386" s="141" t="s">
        <v>1942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4"/>
      <c r="F387" s="146" t="str">
        <f t="shared" si="32"/>
        <v/>
      </c>
      <c r="G387" s="183"/>
      <c r="H387" s="183"/>
      <c r="I387" s="183"/>
      <c r="J387" s="199"/>
      <c r="K387" s="198"/>
      <c r="L387" s="198"/>
      <c r="M387" s="199"/>
      <c r="N387" s="199"/>
      <c r="P387" s="141" t="str">
        <f t="shared" si="33"/>
        <v/>
      </c>
      <c r="Q387" s="141" t="str">
        <f t="shared" si="34"/>
        <v/>
      </c>
      <c r="AA387" s="141" t="s">
        <v>1943</v>
      </c>
      <c r="AB387" s="141" t="s">
        <v>1944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4"/>
      <c r="F388" s="146" t="str">
        <f t="shared" ref="F388:F451" si="37">IFERROR(VLOOKUP(E388,$AA$5:$AB$500,2,FALSE),"")</f>
        <v/>
      </c>
      <c r="G388" s="183"/>
      <c r="H388" s="183"/>
      <c r="I388" s="183"/>
      <c r="J388" s="199"/>
      <c r="K388" s="198"/>
      <c r="L388" s="198"/>
      <c r="M388" s="199"/>
      <c r="N388" s="199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1945</v>
      </c>
      <c r="AB388" s="141" t="s">
        <v>1946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4"/>
      <c r="F389" s="146" t="str">
        <f t="shared" si="37"/>
        <v/>
      </c>
      <c r="G389" s="183"/>
      <c r="H389" s="183"/>
      <c r="I389" s="183"/>
      <c r="J389" s="199"/>
      <c r="K389" s="198"/>
      <c r="L389" s="198"/>
      <c r="M389" s="199"/>
      <c r="N389" s="199"/>
      <c r="P389" s="141" t="str">
        <f t="shared" si="38"/>
        <v/>
      </c>
      <c r="Q389" s="141" t="str">
        <f t="shared" si="39"/>
        <v/>
      </c>
      <c r="AA389" s="141" t="s">
        <v>1947</v>
      </c>
      <c r="AB389" s="141" t="s">
        <v>1948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4"/>
      <c r="F390" s="146" t="str">
        <f t="shared" si="37"/>
        <v/>
      </c>
      <c r="G390" s="183"/>
      <c r="H390" s="183"/>
      <c r="I390" s="183"/>
      <c r="J390" s="199"/>
      <c r="K390" s="198"/>
      <c r="L390" s="198"/>
      <c r="M390" s="199"/>
      <c r="N390" s="199"/>
      <c r="P390" s="141" t="str">
        <f t="shared" si="38"/>
        <v/>
      </c>
      <c r="Q390" s="141" t="str">
        <f t="shared" si="39"/>
        <v/>
      </c>
      <c r="AA390" s="141" t="s">
        <v>1949</v>
      </c>
      <c r="AB390" s="141" t="s">
        <v>1950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4"/>
      <c r="F391" s="146" t="str">
        <f t="shared" si="37"/>
        <v/>
      </c>
      <c r="G391" s="183"/>
      <c r="H391" s="183"/>
      <c r="I391" s="183"/>
      <c r="J391" s="199"/>
      <c r="K391" s="198"/>
      <c r="L391" s="198"/>
      <c r="M391" s="199"/>
      <c r="N391" s="199"/>
      <c r="P391" s="141" t="str">
        <f t="shared" si="38"/>
        <v/>
      </c>
      <c r="Q391" s="141" t="str">
        <f t="shared" si="39"/>
        <v/>
      </c>
      <c r="AA391" s="141" t="s">
        <v>1951</v>
      </c>
      <c r="AB391" s="141" t="s">
        <v>1952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4"/>
      <c r="F392" s="146" t="str">
        <f t="shared" si="37"/>
        <v/>
      </c>
      <c r="G392" s="183"/>
      <c r="H392" s="183"/>
      <c r="I392" s="183"/>
      <c r="J392" s="199"/>
      <c r="K392" s="198"/>
      <c r="L392" s="198"/>
      <c r="M392" s="199"/>
      <c r="N392" s="199"/>
      <c r="P392" s="141" t="str">
        <f t="shared" si="38"/>
        <v/>
      </c>
      <c r="Q392" s="141" t="str">
        <f t="shared" si="39"/>
        <v/>
      </c>
      <c r="AA392" s="141" t="s">
        <v>1953</v>
      </c>
      <c r="AB392" s="141" t="s">
        <v>1954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4"/>
      <c r="F393" s="146" t="str">
        <f t="shared" si="37"/>
        <v/>
      </c>
      <c r="G393" s="183"/>
      <c r="H393" s="183"/>
      <c r="I393" s="183"/>
      <c r="J393" s="199"/>
      <c r="K393" s="198"/>
      <c r="L393" s="198"/>
      <c r="M393" s="199"/>
      <c r="N393" s="199"/>
      <c r="P393" s="141" t="str">
        <f t="shared" si="38"/>
        <v/>
      </c>
      <c r="Q393" s="141" t="str">
        <f t="shared" si="39"/>
        <v/>
      </c>
      <c r="AA393" s="141" t="s">
        <v>1955</v>
      </c>
      <c r="AB393" s="141" t="s">
        <v>1956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4"/>
      <c r="F394" s="146" t="str">
        <f t="shared" si="37"/>
        <v/>
      </c>
      <c r="G394" s="183"/>
      <c r="H394" s="183"/>
      <c r="I394" s="183"/>
      <c r="J394" s="199"/>
      <c r="K394" s="198"/>
      <c r="L394" s="198"/>
      <c r="M394" s="199"/>
      <c r="N394" s="199"/>
      <c r="P394" s="141" t="str">
        <f t="shared" si="38"/>
        <v/>
      </c>
      <c r="Q394" s="141" t="str">
        <f t="shared" si="39"/>
        <v/>
      </c>
      <c r="AA394" s="141" t="s">
        <v>1957</v>
      </c>
      <c r="AB394" s="141" t="s">
        <v>1958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4"/>
      <c r="F395" s="146" t="str">
        <f t="shared" si="37"/>
        <v/>
      </c>
      <c r="G395" s="183"/>
      <c r="H395" s="183"/>
      <c r="I395" s="183"/>
      <c r="J395" s="199"/>
      <c r="K395" s="198"/>
      <c r="L395" s="198"/>
      <c r="M395" s="199"/>
      <c r="N395" s="199"/>
      <c r="P395" s="141" t="str">
        <f t="shared" si="38"/>
        <v/>
      </c>
      <c r="Q395" s="141" t="str">
        <f t="shared" si="39"/>
        <v/>
      </c>
      <c r="AA395" s="141" t="s">
        <v>1959</v>
      </c>
      <c r="AB395" s="141" t="s">
        <v>1960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4"/>
      <c r="F396" s="146" t="str">
        <f t="shared" si="37"/>
        <v/>
      </c>
      <c r="G396" s="183"/>
      <c r="H396" s="183"/>
      <c r="I396" s="183"/>
      <c r="J396" s="199"/>
      <c r="K396" s="198"/>
      <c r="L396" s="198"/>
      <c r="M396" s="199"/>
      <c r="N396" s="199"/>
      <c r="P396" s="141" t="str">
        <f t="shared" si="38"/>
        <v/>
      </c>
      <c r="Q396" s="141" t="str">
        <f t="shared" si="39"/>
        <v/>
      </c>
      <c r="AA396" s="141" t="s">
        <v>1961</v>
      </c>
      <c r="AB396" s="141" t="s">
        <v>1962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4"/>
      <c r="F397" s="146" t="str">
        <f t="shared" si="37"/>
        <v/>
      </c>
      <c r="G397" s="183"/>
      <c r="H397" s="183"/>
      <c r="I397" s="183"/>
      <c r="J397" s="199"/>
      <c r="K397" s="198"/>
      <c r="L397" s="198"/>
      <c r="M397" s="199"/>
      <c r="N397" s="199"/>
      <c r="P397" s="141" t="str">
        <f t="shared" si="38"/>
        <v/>
      </c>
      <c r="Q397" s="141" t="str">
        <f t="shared" si="39"/>
        <v/>
      </c>
      <c r="AA397" s="141" t="s">
        <v>1963</v>
      </c>
      <c r="AB397" s="141" t="s">
        <v>1964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4"/>
      <c r="F398" s="146" t="str">
        <f t="shared" si="37"/>
        <v/>
      </c>
      <c r="G398" s="183"/>
      <c r="H398" s="183"/>
      <c r="I398" s="183"/>
      <c r="J398" s="199"/>
      <c r="K398" s="198"/>
      <c r="L398" s="198"/>
      <c r="M398" s="199"/>
      <c r="N398" s="199"/>
      <c r="P398" s="141" t="str">
        <f t="shared" si="38"/>
        <v/>
      </c>
      <c r="Q398" s="141" t="str">
        <f t="shared" si="39"/>
        <v/>
      </c>
      <c r="AA398" s="141" t="s">
        <v>1965</v>
      </c>
      <c r="AB398" s="141" t="s">
        <v>1966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4"/>
      <c r="F399" s="146" t="str">
        <f t="shared" si="37"/>
        <v/>
      </c>
      <c r="G399" s="183"/>
      <c r="H399" s="183"/>
      <c r="I399" s="183"/>
      <c r="J399" s="199"/>
      <c r="K399" s="198"/>
      <c r="L399" s="198"/>
      <c r="M399" s="199"/>
      <c r="N399" s="199"/>
      <c r="P399" s="141" t="str">
        <f t="shared" si="38"/>
        <v/>
      </c>
      <c r="Q399" s="141" t="str">
        <f t="shared" si="39"/>
        <v/>
      </c>
      <c r="AA399" s="141" t="s">
        <v>1967</v>
      </c>
      <c r="AB399" s="141" t="s">
        <v>1968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4"/>
      <c r="F400" s="146" t="str">
        <f t="shared" si="37"/>
        <v/>
      </c>
      <c r="G400" s="183"/>
      <c r="H400" s="183"/>
      <c r="I400" s="183"/>
      <c r="J400" s="199"/>
      <c r="K400" s="198"/>
      <c r="L400" s="198"/>
      <c r="M400" s="199"/>
      <c r="N400" s="199"/>
      <c r="P400" s="141" t="str">
        <f t="shared" si="38"/>
        <v/>
      </c>
      <c r="Q400" s="141" t="str">
        <f t="shared" si="39"/>
        <v/>
      </c>
      <c r="AA400" s="141" t="s">
        <v>1969</v>
      </c>
      <c r="AB400" s="141" t="s">
        <v>1970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4"/>
      <c r="F401" s="146" t="str">
        <f t="shared" si="37"/>
        <v/>
      </c>
      <c r="G401" s="183"/>
      <c r="H401" s="183"/>
      <c r="I401" s="183"/>
      <c r="J401" s="199"/>
      <c r="K401" s="198"/>
      <c r="L401" s="198"/>
      <c r="M401" s="199"/>
      <c r="N401" s="199"/>
      <c r="P401" s="141" t="str">
        <f t="shared" si="38"/>
        <v/>
      </c>
      <c r="Q401" s="141" t="str">
        <f t="shared" si="39"/>
        <v/>
      </c>
      <c r="AA401" s="141" t="s">
        <v>1971</v>
      </c>
      <c r="AB401" s="141" t="s">
        <v>1972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4"/>
      <c r="F402" s="146" t="str">
        <f t="shared" si="37"/>
        <v/>
      </c>
      <c r="G402" s="183"/>
      <c r="H402" s="183"/>
      <c r="I402" s="183"/>
      <c r="J402" s="199"/>
      <c r="K402" s="198"/>
      <c r="L402" s="198"/>
      <c r="M402" s="199"/>
      <c r="N402" s="199"/>
      <c r="P402" s="141" t="str">
        <f t="shared" si="38"/>
        <v/>
      </c>
      <c r="Q402" s="141" t="str">
        <f t="shared" si="39"/>
        <v/>
      </c>
      <c r="AA402" s="141" t="s">
        <v>1973</v>
      </c>
      <c r="AB402" s="141" t="s">
        <v>1974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4"/>
      <c r="F403" s="146" t="str">
        <f t="shared" si="37"/>
        <v/>
      </c>
      <c r="G403" s="183"/>
      <c r="H403" s="183"/>
      <c r="I403" s="183"/>
      <c r="J403" s="199"/>
      <c r="K403" s="198"/>
      <c r="L403" s="198"/>
      <c r="M403" s="199"/>
      <c r="N403" s="199"/>
      <c r="P403" s="141" t="str">
        <f t="shared" si="38"/>
        <v/>
      </c>
      <c r="Q403" s="141" t="str">
        <f t="shared" si="39"/>
        <v/>
      </c>
      <c r="AA403" s="141" t="s">
        <v>1975</v>
      </c>
      <c r="AB403" s="141" t="s">
        <v>1976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4"/>
      <c r="F404" s="146" t="str">
        <f t="shared" si="37"/>
        <v/>
      </c>
      <c r="G404" s="183"/>
      <c r="H404" s="183"/>
      <c r="I404" s="183"/>
      <c r="J404" s="199"/>
      <c r="K404" s="198"/>
      <c r="L404" s="198"/>
      <c r="M404" s="199"/>
      <c r="N404" s="199"/>
      <c r="P404" s="141" t="str">
        <f t="shared" si="38"/>
        <v/>
      </c>
      <c r="Q404" s="141" t="str">
        <f t="shared" si="39"/>
        <v/>
      </c>
      <c r="AA404" s="141" t="s">
        <v>1977</v>
      </c>
      <c r="AB404" s="141" t="s">
        <v>1978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4"/>
      <c r="F405" s="146" t="str">
        <f t="shared" si="37"/>
        <v/>
      </c>
      <c r="G405" s="183"/>
      <c r="H405" s="183"/>
      <c r="I405" s="183"/>
      <c r="J405" s="199"/>
      <c r="K405" s="198"/>
      <c r="L405" s="198"/>
      <c r="M405" s="199"/>
      <c r="N405" s="199"/>
      <c r="P405" s="141" t="str">
        <f t="shared" si="38"/>
        <v/>
      </c>
      <c r="Q405" s="141" t="str">
        <f t="shared" si="39"/>
        <v/>
      </c>
      <c r="AA405" s="141" t="s">
        <v>1979</v>
      </c>
      <c r="AB405" s="141" t="s">
        <v>1980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4"/>
      <c r="F406" s="146" t="str">
        <f t="shared" si="37"/>
        <v/>
      </c>
      <c r="G406" s="183"/>
      <c r="H406" s="183"/>
      <c r="I406" s="183"/>
      <c r="J406" s="199"/>
      <c r="K406" s="198"/>
      <c r="L406" s="198"/>
      <c r="M406" s="199"/>
      <c r="N406" s="199"/>
      <c r="P406" s="141" t="str">
        <f t="shared" si="38"/>
        <v/>
      </c>
      <c r="Q406" s="141" t="str">
        <f t="shared" si="39"/>
        <v/>
      </c>
      <c r="AA406" s="141" t="s">
        <v>1981</v>
      </c>
      <c r="AB406" s="141" t="s">
        <v>1982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4"/>
      <c r="F407" s="146" t="str">
        <f t="shared" si="37"/>
        <v/>
      </c>
      <c r="G407" s="183"/>
      <c r="H407" s="183"/>
      <c r="I407" s="183"/>
      <c r="J407" s="199"/>
      <c r="K407" s="198"/>
      <c r="L407" s="198"/>
      <c r="M407" s="199"/>
      <c r="N407" s="199"/>
      <c r="P407" s="141" t="str">
        <f t="shared" si="38"/>
        <v/>
      </c>
      <c r="Q407" s="141" t="str">
        <f t="shared" si="39"/>
        <v/>
      </c>
      <c r="AA407" s="141" t="s">
        <v>1983</v>
      </c>
      <c r="AB407" s="141" t="s">
        <v>1984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4"/>
      <c r="F408" s="146" t="str">
        <f t="shared" si="37"/>
        <v/>
      </c>
      <c r="G408" s="183"/>
      <c r="H408" s="183"/>
      <c r="I408" s="183"/>
      <c r="J408" s="199"/>
      <c r="K408" s="198"/>
      <c r="L408" s="198"/>
      <c r="M408" s="199"/>
      <c r="N408" s="199"/>
      <c r="P408" s="141" t="str">
        <f t="shared" si="38"/>
        <v/>
      </c>
      <c r="Q408" s="141" t="str">
        <f t="shared" si="39"/>
        <v/>
      </c>
      <c r="AA408" s="141" t="s">
        <v>1985</v>
      </c>
      <c r="AB408" s="141" t="s">
        <v>1986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4"/>
      <c r="F409" s="146" t="str">
        <f t="shared" si="37"/>
        <v/>
      </c>
      <c r="G409" s="183"/>
      <c r="H409" s="183"/>
      <c r="I409" s="183"/>
      <c r="J409" s="199"/>
      <c r="K409" s="198"/>
      <c r="L409" s="198"/>
      <c r="M409" s="199"/>
      <c r="N409" s="199"/>
      <c r="P409" s="141" t="str">
        <f t="shared" si="38"/>
        <v/>
      </c>
      <c r="Q409" s="141" t="str">
        <f t="shared" si="39"/>
        <v/>
      </c>
      <c r="AA409" s="141" t="s">
        <v>1987</v>
      </c>
      <c r="AB409" s="141" t="s">
        <v>1988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4"/>
      <c r="F410" s="146" t="str">
        <f t="shared" si="37"/>
        <v/>
      </c>
      <c r="G410" s="183"/>
      <c r="H410" s="183"/>
      <c r="I410" s="183"/>
      <c r="J410" s="199"/>
      <c r="K410" s="198"/>
      <c r="L410" s="198"/>
      <c r="M410" s="199"/>
      <c r="N410" s="199"/>
      <c r="P410" s="141" t="str">
        <f t="shared" si="38"/>
        <v/>
      </c>
      <c r="Q410" s="141" t="str">
        <f t="shared" si="39"/>
        <v/>
      </c>
      <c r="AA410" s="141" t="s">
        <v>1989</v>
      </c>
      <c r="AB410" s="141" t="s">
        <v>1990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4"/>
      <c r="F411" s="146" t="str">
        <f t="shared" si="37"/>
        <v/>
      </c>
      <c r="G411" s="183"/>
      <c r="H411" s="183"/>
      <c r="I411" s="183"/>
      <c r="J411" s="199"/>
      <c r="K411" s="198"/>
      <c r="L411" s="198"/>
      <c r="M411" s="199"/>
      <c r="N411" s="199"/>
      <c r="P411" s="141" t="str">
        <f t="shared" si="38"/>
        <v/>
      </c>
      <c r="Q411" s="141" t="str">
        <f t="shared" si="39"/>
        <v/>
      </c>
      <c r="AA411" s="141" t="s">
        <v>1991</v>
      </c>
      <c r="AB411" s="141" t="s">
        <v>1992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4"/>
      <c r="F412" s="146" t="str">
        <f t="shared" si="37"/>
        <v/>
      </c>
      <c r="G412" s="183"/>
      <c r="H412" s="183"/>
      <c r="I412" s="183"/>
      <c r="J412" s="199"/>
      <c r="K412" s="198"/>
      <c r="L412" s="198"/>
      <c r="M412" s="199"/>
      <c r="N412" s="199"/>
      <c r="P412" s="141" t="str">
        <f t="shared" si="38"/>
        <v/>
      </c>
      <c r="Q412" s="141" t="str">
        <f t="shared" si="39"/>
        <v/>
      </c>
      <c r="AA412" s="141" t="s">
        <v>1993</v>
      </c>
      <c r="AB412" s="141" t="s">
        <v>1994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4"/>
      <c r="F413" s="146" t="str">
        <f t="shared" si="37"/>
        <v/>
      </c>
      <c r="G413" s="183"/>
      <c r="H413" s="183"/>
      <c r="I413" s="183"/>
      <c r="J413" s="199"/>
      <c r="K413" s="198"/>
      <c r="L413" s="198"/>
      <c r="M413" s="199"/>
      <c r="N413" s="199"/>
      <c r="P413" s="141" t="str">
        <f t="shared" si="38"/>
        <v/>
      </c>
      <c r="Q413" s="141" t="str">
        <f t="shared" si="39"/>
        <v/>
      </c>
      <c r="AA413" s="141" t="s">
        <v>1995</v>
      </c>
      <c r="AB413" s="141" t="s">
        <v>1996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4"/>
      <c r="F414" s="146" t="str">
        <f t="shared" si="37"/>
        <v/>
      </c>
      <c r="G414" s="183"/>
      <c r="H414" s="183"/>
      <c r="I414" s="183"/>
      <c r="J414" s="199"/>
      <c r="K414" s="198"/>
      <c r="L414" s="198"/>
      <c r="M414" s="199"/>
      <c r="N414" s="199"/>
      <c r="P414" s="141" t="str">
        <f t="shared" si="38"/>
        <v/>
      </c>
      <c r="Q414" s="141" t="str">
        <f t="shared" si="39"/>
        <v/>
      </c>
      <c r="AA414" s="141" t="s">
        <v>1997</v>
      </c>
      <c r="AB414" s="141" t="s">
        <v>1998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4"/>
      <c r="F415" s="146" t="str">
        <f t="shared" si="37"/>
        <v/>
      </c>
      <c r="G415" s="183"/>
      <c r="H415" s="183"/>
      <c r="I415" s="183"/>
      <c r="J415" s="199"/>
      <c r="K415" s="198"/>
      <c r="L415" s="198"/>
      <c r="M415" s="199"/>
      <c r="N415" s="199"/>
      <c r="P415" s="141" t="str">
        <f t="shared" si="38"/>
        <v/>
      </c>
      <c r="Q415" s="141" t="str">
        <f t="shared" si="39"/>
        <v/>
      </c>
      <c r="AA415" s="141" t="s">
        <v>1999</v>
      </c>
      <c r="AB415" s="141" t="s">
        <v>2000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4"/>
      <c r="F416" s="146" t="str">
        <f t="shared" si="37"/>
        <v/>
      </c>
      <c r="G416" s="183"/>
      <c r="H416" s="183"/>
      <c r="I416" s="183"/>
      <c r="J416" s="199"/>
      <c r="K416" s="198"/>
      <c r="L416" s="198"/>
      <c r="M416" s="199"/>
      <c r="N416" s="199"/>
      <c r="P416" s="141" t="str">
        <f t="shared" si="38"/>
        <v/>
      </c>
      <c r="Q416" s="141" t="str">
        <f t="shared" si="39"/>
        <v/>
      </c>
      <c r="AA416" s="141" t="s">
        <v>2001</v>
      </c>
      <c r="AB416" s="141" t="s">
        <v>2002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4"/>
      <c r="F417" s="146" t="str">
        <f t="shared" si="37"/>
        <v/>
      </c>
      <c r="G417" s="183"/>
      <c r="H417" s="183"/>
      <c r="I417" s="183"/>
      <c r="J417" s="199"/>
      <c r="K417" s="198"/>
      <c r="L417" s="198"/>
      <c r="M417" s="199"/>
      <c r="N417" s="199"/>
      <c r="P417" s="141" t="str">
        <f t="shared" si="38"/>
        <v/>
      </c>
      <c r="Q417" s="141" t="str">
        <f t="shared" si="39"/>
        <v/>
      </c>
      <c r="AA417" s="141" t="s">
        <v>2003</v>
      </c>
      <c r="AB417" s="141" t="s">
        <v>2004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4"/>
      <c r="F418" s="146" t="str">
        <f t="shared" si="37"/>
        <v/>
      </c>
      <c r="G418" s="183"/>
      <c r="H418" s="183"/>
      <c r="I418" s="183"/>
      <c r="J418" s="199"/>
      <c r="K418" s="198"/>
      <c r="L418" s="198"/>
      <c r="M418" s="199"/>
      <c r="N418" s="199"/>
      <c r="P418" s="141" t="str">
        <f t="shared" si="38"/>
        <v/>
      </c>
      <c r="Q418" s="141" t="str">
        <f t="shared" si="39"/>
        <v/>
      </c>
      <c r="AA418" s="141" t="s">
        <v>2005</v>
      </c>
      <c r="AB418" s="141" t="s">
        <v>2006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4"/>
      <c r="F419" s="146" t="str">
        <f t="shared" si="37"/>
        <v/>
      </c>
      <c r="G419" s="183"/>
      <c r="H419" s="183"/>
      <c r="I419" s="183"/>
      <c r="J419" s="199"/>
      <c r="K419" s="198"/>
      <c r="L419" s="198"/>
      <c r="M419" s="199"/>
      <c r="N419" s="199"/>
      <c r="P419" s="141" t="str">
        <f t="shared" si="38"/>
        <v/>
      </c>
      <c r="Q419" s="141" t="str">
        <f t="shared" si="39"/>
        <v/>
      </c>
      <c r="AA419" s="141" t="s">
        <v>2007</v>
      </c>
      <c r="AB419" s="141" t="s">
        <v>2008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4"/>
      <c r="F420" s="146" t="str">
        <f t="shared" si="37"/>
        <v/>
      </c>
      <c r="G420" s="183"/>
      <c r="H420" s="183"/>
      <c r="I420" s="183"/>
      <c r="J420" s="199"/>
      <c r="K420" s="198"/>
      <c r="L420" s="198"/>
      <c r="M420" s="199"/>
      <c r="N420" s="199"/>
      <c r="P420" s="141" t="str">
        <f t="shared" si="38"/>
        <v/>
      </c>
      <c r="Q420" s="141" t="str">
        <f t="shared" si="39"/>
        <v/>
      </c>
      <c r="AA420" s="141" t="s">
        <v>2009</v>
      </c>
      <c r="AB420" s="141" t="s">
        <v>2010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4"/>
      <c r="F421" s="146" t="str">
        <f t="shared" si="37"/>
        <v/>
      </c>
      <c r="G421" s="183"/>
      <c r="H421" s="183"/>
      <c r="I421" s="183"/>
      <c r="J421" s="199"/>
      <c r="K421" s="198"/>
      <c r="L421" s="198"/>
      <c r="M421" s="199"/>
      <c r="N421" s="199"/>
      <c r="P421" s="141" t="str">
        <f t="shared" si="38"/>
        <v/>
      </c>
      <c r="Q421" s="141" t="str">
        <f t="shared" si="39"/>
        <v/>
      </c>
      <c r="AA421" s="141" t="s">
        <v>2011</v>
      </c>
      <c r="AB421" s="141" t="s">
        <v>2012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4"/>
      <c r="F422" s="146" t="str">
        <f t="shared" si="37"/>
        <v/>
      </c>
      <c r="G422" s="183"/>
      <c r="H422" s="183"/>
      <c r="I422" s="183"/>
      <c r="J422" s="199"/>
      <c r="K422" s="198"/>
      <c r="L422" s="198"/>
      <c r="M422" s="199"/>
      <c r="N422" s="199"/>
      <c r="P422" s="141" t="str">
        <f t="shared" si="38"/>
        <v/>
      </c>
      <c r="Q422" s="141" t="str">
        <f t="shared" si="39"/>
        <v/>
      </c>
      <c r="AA422" s="141" t="s">
        <v>2013</v>
      </c>
      <c r="AB422" s="141" t="s">
        <v>2014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4"/>
      <c r="F423" s="146" t="str">
        <f t="shared" si="37"/>
        <v/>
      </c>
      <c r="G423" s="183"/>
      <c r="H423" s="183"/>
      <c r="I423" s="183"/>
      <c r="J423" s="199"/>
      <c r="K423" s="198"/>
      <c r="L423" s="198"/>
      <c r="M423" s="199"/>
      <c r="N423" s="199"/>
      <c r="P423" s="141" t="str">
        <f t="shared" si="38"/>
        <v/>
      </c>
      <c r="Q423" s="141" t="str">
        <f t="shared" si="39"/>
        <v/>
      </c>
      <c r="AA423" s="141" t="s">
        <v>2015</v>
      </c>
      <c r="AB423" s="141" t="s">
        <v>2016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4"/>
      <c r="F424" s="146" t="str">
        <f t="shared" si="37"/>
        <v/>
      </c>
      <c r="G424" s="183"/>
      <c r="H424" s="183"/>
      <c r="I424" s="183"/>
      <c r="J424" s="199"/>
      <c r="K424" s="198"/>
      <c r="L424" s="198"/>
      <c r="M424" s="199"/>
      <c r="N424" s="199"/>
      <c r="P424" s="141" t="str">
        <f t="shared" si="38"/>
        <v/>
      </c>
      <c r="Q424" s="141" t="str">
        <f t="shared" si="39"/>
        <v/>
      </c>
      <c r="AA424" s="141" t="s">
        <v>2017</v>
      </c>
      <c r="AB424" s="141" t="s">
        <v>2018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4"/>
      <c r="F425" s="146" t="str">
        <f t="shared" si="37"/>
        <v/>
      </c>
      <c r="G425" s="183"/>
      <c r="H425" s="183"/>
      <c r="I425" s="183"/>
      <c r="J425" s="199"/>
      <c r="K425" s="198"/>
      <c r="L425" s="198"/>
      <c r="M425" s="199"/>
      <c r="N425" s="199"/>
      <c r="P425" s="141" t="str">
        <f t="shared" si="38"/>
        <v/>
      </c>
      <c r="Q425" s="141" t="str">
        <f t="shared" si="39"/>
        <v/>
      </c>
      <c r="AA425" s="141" t="s">
        <v>2019</v>
      </c>
      <c r="AB425" s="141" t="s">
        <v>2020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4"/>
      <c r="F426" s="146" t="str">
        <f t="shared" si="37"/>
        <v/>
      </c>
      <c r="G426" s="183"/>
      <c r="H426" s="183"/>
      <c r="I426" s="183"/>
      <c r="J426" s="199"/>
      <c r="K426" s="198"/>
      <c r="L426" s="198"/>
      <c r="M426" s="199"/>
      <c r="N426" s="199"/>
      <c r="P426" s="141" t="str">
        <f t="shared" si="38"/>
        <v/>
      </c>
      <c r="Q426" s="141" t="str">
        <f t="shared" si="39"/>
        <v/>
      </c>
      <c r="AA426" s="141" t="s">
        <v>2021</v>
      </c>
      <c r="AB426" s="141" t="s">
        <v>2022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4"/>
      <c r="F427" s="146" t="str">
        <f t="shared" si="37"/>
        <v/>
      </c>
      <c r="G427" s="183"/>
      <c r="H427" s="183"/>
      <c r="I427" s="183"/>
      <c r="J427" s="199"/>
      <c r="K427" s="198"/>
      <c r="L427" s="198"/>
      <c r="M427" s="199"/>
      <c r="N427" s="199"/>
      <c r="P427" s="141" t="str">
        <f t="shared" si="38"/>
        <v/>
      </c>
      <c r="Q427" s="141" t="str">
        <f t="shared" si="39"/>
        <v/>
      </c>
      <c r="AA427" s="141" t="s">
        <v>2023</v>
      </c>
      <c r="AB427" s="141" t="s">
        <v>2024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4"/>
      <c r="F428" s="146" t="str">
        <f t="shared" si="37"/>
        <v/>
      </c>
      <c r="G428" s="183"/>
      <c r="H428" s="183"/>
      <c r="I428" s="183"/>
      <c r="J428" s="199"/>
      <c r="K428" s="198"/>
      <c r="L428" s="198"/>
      <c r="M428" s="199"/>
      <c r="N428" s="199"/>
      <c r="P428" s="141" t="str">
        <f t="shared" si="38"/>
        <v/>
      </c>
      <c r="Q428" s="141" t="str">
        <f t="shared" si="39"/>
        <v/>
      </c>
      <c r="AA428" s="141" t="s">
        <v>2025</v>
      </c>
      <c r="AB428" s="141" t="s">
        <v>2026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4"/>
      <c r="F429" s="146" t="str">
        <f t="shared" si="37"/>
        <v/>
      </c>
      <c r="G429" s="183"/>
      <c r="H429" s="183"/>
      <c r="I429" s="183"/>
      <c r="J429" s="199"/>
      <c r="K429" s="198"/>
      <c r="L429" s="198"/>
      <c r="M429" s="199"/>
      <c r="N429" s="199"/>
      <c r="P429" s="141" t="str">
        <f t="shared" si="38"/>
        <v/>
      </c>
      <c r="Q429" s="141" t="str">
        <f t="shared" si="39"/>
        <v/>
      </c>
      <c r="AA429" s="141" t="s">
        <v>2027</v>
      </c>
      <c r="AB429" s="141" t="s">
        <v>2028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4"/>
      <c r="F430" s="146" t="str">
        <f t="shared" si="37"/>
        <v/>
      </c>
      <c r="G430" s="183"/>
      <c r="H430" s="183"/>
      <c r="I430" s="183"/>
      <c r="J430" s="199"/>
      <c r="K430" s="198"/>
      <c r="L430" s="198"/>
      <c r="M430" s="199"/>
      <c r="N430" s="199"/>
      <c r="P430" s="141" t="str">
        <f t="shared" si="38"/>
        <v/>
      </c>
      <c r="Q430" s="141" t="str">
        <f t="shared" si="39"/>
        <v/>
      </c>
      <c r="AA430" s="141" t="s">
        <v>2029</v>
      </c>
      <c r="AB430" s="141" t="s">
        <v>2030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4"/>
      <c r="F431" s="146" t="str">
        <f t="shared" si="37"/>
        <v/>
      </c>
      <c r="G431" s="183"/>
      <c r="H431" s="183"/>
      <c r="I431" s="183"/>
      <c r="J431" s="199"/>
      <c r="K431" s="198"/>
      <c r="L431" s="198"/>
      <c r="M431" s="199"/>
      <c r="N431" s="199"/>
      <c r="P431" s="141" t="str">
        <f t="shared" si="38"/>
        <v/>
      </c>
      <c r="Q431" s="141" t="str">
        <f t="shared" si="39"/>
        <v/>
      </c>
      <c r="AA431" s="141" t="s">
        <v>2031</v>
      </c>
      <c r="AB431" s="141" t="s">
        <v>2032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4"/>
      <c r="F432" s="146" t="str">
        <f t="shared" si="37"/>
        <v/>
      </c>
      <c r="G432" s="183"/>
      <c r="H432" s="183"/>
      <c r="I432" s="183"/>
      <c r="J432" s="199"/>
      <c r="K432" s="198"/>
      <c r="L432" s="198"/>
      <c r="M432" s="199"/>
      <c r="N432" s="199"/>
      <c r="P432" s="141" t="str">
        <f t="shared" si="38"/>
        <v/>
      </c>
      <c r="Q432" s="141" t="str">
        <f t="shared" si="39"/>
        <v/>
      </c>
      <c r="AA432" s="141" t="s">
        <v>2033</v>
      </c>
      <c r="AB432" s="141" t="s">
        <v>2034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4"/>
      <c r="F433" s="146" t="str">
        <f t="shared" si="37"/>
        <v/>
      </c>
      <c r="G433" s="183"/>
      <c r="H433" s="183"/>
      <c r="I433" s="183"/>
      <c r="J433" s="199"/>
      <c r="K433" s="198"/>
      <c r="L433" s="198"/>
      <c r="M433" s="199"/>
      <c r="N433" s="199"/>
      <c r="P433" s="141" t="str">
        <f t="shared" si="38"/>
        <v/>
      </c>
      <c r="Q433" s="141" t="str">
        <f t="shared" si="39"/>
        <v/>
      </c>
      <c r="AA433" s="141" t="s">
        <v>2035</v>
      </c>
      <c r="AB433" s="141" t="s">
        <v>2036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4"/>
      <c r="F434" s="146" t="str">
        <f t="shared" si="37"/>
        <v/>
      </c>
      <c r="G434" s="183"/>
      <c r="H434" s="183"/>
      <c r="I434" s="183"/>
      <c r="J434" s="199"/>
      <c r="K434" s="198"/>
      <c r="L434" s="198"/>
      <c r="M434" s="199"/>
      <c r="N434" s="199"/>
      <c r="P434" s="141" t="str">
        <f t="shared" si="38"/>
        <v/>
      </c>
      <c r="Q434" s="141" t="str">
        <f t="shared" si="39"/>
        <v/>
      </c>
      <c r="AA434" s="141" t="s">
        <v>2037</v>
      </c>
      <c r="AB434" s="141" t="s">
        <v>2038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4"/>
      <c r="F435" s="146" t="str">
        <f t="shared" si="37"/>
        <v/>
      </c>
      <c r="G435" s="183"/>
      <c r="H435" s="183"/>
      <c r="I435" s="183"/>
      <c r="J435" s="199"/>
      <c r="K435" s="198"/>
      <c r="L435" s="198"/>
      <c r="M435" s="199"/>
      <c r="N435" s="199"/>
      <c r="P435" s="141" t="str">
        <f t="shared" si="38"/>
        <v/>
      </c>
      <c r="Q435" s="141" t="str">
        <f t="shared" si="39"/>
        <v/>
      </c>
      <c r="AA435" s="141" t="s">
        <v>2039</v>
      </c>
      <c r="AB435" s="141" t="s">
        <v>2040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4"/>
      <c r="F436" s="146" t="str">
        <f t="shared" si="37"/>
        <v/>
      </c>
      <c r="G436" s="183"/>
      <c r="H436" s="183"/>
      <c r="I436" s="183"/>
      <c r="J436" s="199"/>
      <c r="K436" s="198"/>
      <c r="L436" s="198"/>
      <c r="M436" s="199"/>
      <c r="N436" s="199"/>
      <c r="P436" s="141" t="str">
        <f t="shared" si="38"/>
        <v/>
      </c>
      <c r="Q436" s="141" t="str">
        <f t="shared" si="39"/>
        <v/>
      </c>
      <c r="AA436" s="141" t="s">
        <v>2041</v>
      </c>
      <c r="AB436" s="141" t="s">
        <v>2042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4"/>
      <c r="F437" s="146" t="str">
        <f t="shared" si="37"/>
        <v/>
      </c>
      <c r="G437" s="183"/>
      <c r="H437" s="183"/>
      <c r="I437" s="183"/>
      <c r="J437" s="199"/>
      <c r="K437" s="198"/>
      <c r="L437" s="198"/>
      <c r="M437" s="199"/>
      <c r="N437" s="199"/>
      <c r="P437" s="141" t="str">
        <f t="shared" si="38"/>
        <v/>
      </c>
      <c r="Q437" s="141" t="str">
        <f t="shared" si="39"/>
        <v/>
      </c>
      <c r="AA437" s="141" t="s">
        <v>2043</v>
      </c>
      <c r="AB437" s="141" t="s">
        <v>2044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4"/>
      <c r="F438" s="146" t="str">
        <f t="shared" si="37"/>
        <v/>
      </c>
      <c r="G438" s="183"/>
      <c r="H438" s="183"/>
      <c r="I438" s="183"/>
      <c r="J438" s="199"/>
      <c r="K438" s="198"/>
      <c r="L438" s="198"/>
      <c r="M438" s="199"/>
      <c r="N438" s="199"/>
      <c r="P438" s="141" t="str">
        <f t="shared" si="38"/>
        <v/>
      </c>
      <c r="Q438" s="141" t="str">
        <f t="shared" si="39"/>
        <v/>
      </c>
      <c r="AA438" s="141" t="s">
        <v>2045</v>
      </c>
      <c r="AB438" s="141" t="s">
        <v>2046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4"/>
      <c r="F439" s="146" t="str">
        <f t="shared" si="37"/>
        <v/>
      </c>
      <c r="G439" s="183"/>
      <c r="H439" s="183"/>
      <c r="I439" s="183"/>
      <c r="J439" s="199"/>
      <c r="K439" s="198"/>
      <c r="L439" s="198"/>
      <c r="M439" s="199"/>
      <c r="N439" s="199"/>
      <c r="P439" s="141" t="str">
        <f t="shared" si="38"/>
        <v/>
      </c>
      <c r="Q439" s="141" t="str">
        <f t="shared" si="39"/>
        <v/>
      </c>
      <c r="AA439" s="141" t="s">
        <v>2047</v>
      </c>
      <c r="AB439" s="141" t="s">
        <v>2048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4"/>
      <c r="F440" s="146" t="str">
        <f t="shared" si="37"/>
        <v/>
      </c>
      <c r="G440" s="183"/>
      <c r="H440" s="183"/>
      <c r="I440" s="183"/>
      <c r="J440" s="199"/>
      <c r="K440" s="198"/>
      <c r="L440" s="198"/>
      <c r="M440" s="199"/>
      <c r="N440" s="199"/>
      <c r="P440" s="141" t="str">
        <f t="shared" si="38"/>
        <v/>
      </c>
      <c r="Q440" s="141" t="str">
        <f t="shared" si="39"/>
        <v/>
      </c>
      <c r="AA440" s="141" t="s">
        <v>2049</v>
      </c>
      <c r="AB440" s="141" t="s">
        <v>2050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4"/>
      <c r="F441" s="146" t="str">
        <f t="shared" si="37"/>
        <v/>
      </c>
      <c r="G441" s="183"/>
      <c r="H441" s="183"/>
      <c r="I441" s="183"/>
      <c r="J441" s="199"/>
      <c r="K441" s="198"/>
      <c r="L441" s="198"/>
      <c r="M441" s="199"/>
      <c r="N441" s="199"/>
      <c r="P441" s="141" t="str">
        <f t="shared" si="38"/>
        <v/>
      </c>
      <c r="Q441" s="141" t="str">
        <f t="shared" si="39"/>
        <v/>
      </c>
      <c r="AA441" s="141" t="s">
        <v>2051</v>
      </c>
      <c r="AB441" s="141" t="s">
        <v>2052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4"/>
      <c r="F442" s="146" t="str">
        <f t="shared" si="37"/>
        <v/>
      </c>
      <c r="G442" s="183"/>
      <c r="H442" s="183"/>
      <c r="I442" s="183"/>
      <c r="J442" s="199"/>
      <c r="K442" s="198"/>
      <c r="L442" s="198"/>
      <c r="M442" s="199"/>
      <c r="N442" s="199"/>
      <c r="P442" s="141" t="str">
        <f t="shared" si="38"/>
        <v/>
      </c>
      <c r="Q442" s="141" t="str">
        <f t="shared" si="39"/>
        <v/>
      </c>
      <c r="AA442" s="141" t="s">
        <v>2053</v>
      </c>
      <c r="AB442" s="141" t="s">
        <v>2054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4"/>
      <c r="F443" s="146" t="str">
        <f t="shared" si="37"/>
        <v/>
      </c>
      <c r="G443" s="183"/>
      <c r="H443" s="183"/>
      <c r="I443" s="183"/>
      <c r="J443" s="199"/>
      <c r="K443" s="198"/>
      <c r="L443" s="198"/>
      <c r="M443" s="199"/>
      <c r="N443" s="199"/>
      <c r="P443" s="141" t="str">
        <f t="shared" si="38"/>
        <v/>
      </c>
      <c r="Q443" s="141" t="str">
        <f t="shared" si="39"/>
        <v/>
      </c>
      <c r="AA443" s="141" t="s">
        <v>2055</v>
      </c>
      <c r="AB443" s="141" t="s">
        <v>2056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4"/>
      <c r="F444" s="146" t="str">
        <f t="shared" si="37"/>
        <v/>
      </c>
      <c r="G444" s="183"/>
      <c r="H444" s="183"/>
      <c r="I444" s="183"/>
      <c r="J444" s="199"/>
      <c r="K444" s="198"/>
      <c r="L444" s="198"/>
      <c r="M444" s="199"/>
      <c r="N444" s="199"/>
      <c r="P444" s="141" t="str">
        <f t="shared" si="38"/>
        <v/>
      </c>
      <c r="Q444" s="141" t="str">
        <f t="shared" si="39"/>
        <v/>
      </c>
      <c r="AA444" s="141" t="s">
        <v>2057</v>
      </c>
      <c r="AB444" s="141" t="s">
        <v>1925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4"/>
      <c r="F445" s="146" t="str">
        <f t="shared" si="37"/>
        <v/>
      </c>
      <c r="G445" s="183"/>
      <c r="H445" s="183"/>
      <c r="I445" s="183"/>
      <c r="J445" s="199"/>
      <c r="K445" s="198"/>
      <c r="L445" s="198"/>
      <c r="M445" s="199"/>
      <c r="N445" s="199"/>
      <c r="P445" s="141" t="str">
        <f t="shared" si="38"/>
        <v/>
      </c>
      <c r="Q445" s="141" t="str">
        <f t="shared" si="39"/>
        <v/>
      </c>
      <c r="AA445" s="141" t="s">
        <v>2058</v>
      </c>
      <c r="AB445" s="141" t="s">
        <v>1251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4"/>
      <c r="F446" s="146" t="str">
        <f t="shared" si="37"/>
        <v/>
      </c>
      <c r="G446" s="183"/>
      <c r="H446" s="183"/>
      <c r="I446" s="183"/>
      <c r="J446" s="199"/>
      <c r="K446" s="198"/>
      <c r="L446" s="198"/>
      <c r="M446" s="199"/>
      <c r="N446" s="199"/>
      <c r="P446" s="141" t="str">
        <f t="shared" si="38"/>
        <v/>
      </c>
      <c r="Q446" s="141" t="str">
        <f t="shared" si="39"/>
        <v/>
      </c>
      <c r="AA446" s="141" t="s">
        <v>2059</v>
      </c>
      <c r="AB446" s="141" t="s">
        <v>2060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4"/>
      <c r="F447" s="146" t="str">
        <f t="shared" si="37"/>
        <v/>
      </c>
      <c r="G447" s="183"/>
      <c r="H447" s="183"/>
      <c r="I447" s="183"/>
      <c r="J447" s="199"/>
      <c r="K447" s="198"/>
      <c r="L447" s="198"/>
      <c r="M447" s="199"/>
      <c r="N447" s="199"/>
      <c r="P447" s="141" t="str">
        <f t="shared" si="38"/>
        <v/>
      </c>
      <c r="Q447" s="141" t="str">
        <f t="shared" si="39"/>
        <v/>
      </c>
      <c r="AA447" s="141" t="s">
        <v>2061</v>
      </c>
      <c r="AB447" s="141" t="s">
        <v>1928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4"/>
      <c r="F448" s="146" t="str">
        <f t="shared" si="37"/>
        <v/>
      </c>
      <c r="G448" s="183"/>
      <c r="H448" s="183"/>
      <c r="I448" s="183"/>
      <c r="J448" s="199"/>
      <c r="K448" s="198"/>
      <c r="L448" s="198"/>
      <c r="M448" s="199"/>
      <c r="N448" s="199"/>
      <c r="P448" s="141" t="str">
        <f t="shared" si="38"/>
        <v/>
      </c>
      <c r="Q448" s="141" t="str">
        <f t="shared" si="39"/>
        <v/>
      </c>
      <c r="AA448" s="141" t="s">
        <v>2062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4"/>
      <c r="F449" s="146" t="str">
        <f t="shared" si="37"/>
        <v/>
      </c>
      <c r="G449" s="183"/>
      <c r="H449" s="183"/>
      <c r="I449" s="183"/>
      <c r="J449" s="199"/>
      <c r="K449" s="198"/>
      <c r="L449" s="198"/>
      <c r="M449" s="199"/>
      <c r="N449" s="199"/>
      <c r="P449" s="141" t="str">
        <f t="shared" si="38"/>
        <v/>
      </c>
      <c r="Q449" s="141" t="str">
        <f t="shared" si="39"/>
        <v/>
      </c>
      <c r="AA449" s="141" t="s">
        <v>2063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4"/>
      <c r="F450" s="146" t="str">
        <f t="shared" si="37"/>
        <v/>
      </c>
      <c r="G450" s="183"/>
      <c r="H450" s="183"/>
      <c r="I450" s="183"/>
      <c r="J450" s="199"/>
      <c r="K450" s="198"/>
      <c r="L450" s="198"/>
      <c r="M450" s="199"/>
      <c r="N450" s="199"/>
      <c r="P450" s="141" t="str">
        <f t="shared" si="38"/>
        <v/>
      </c>
      <c r="Q450" s="141" t="str">
        <f t="shared" si="39"/>
        <v/>
      </c>
      <c r="AA450" s="141" t="s">
        <v>2064</v>
      </c>
      <c r="AB450" s="141" t="s">
        <v>2065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4"/>
      <c r="F451" s="146" t="str">
        <f t="shared" si="37"/>
        <v/>
      </c>
      <c r="G451" s="183"/>
      <c r="H451" s="183"/>
      <c r="I451" s="183"/>
      <c r="J451" s="199"/>
      <c r="K451" s="198"/>
      <c r="L451" s="198"/>
      <c r="M451" s="199"/>
      <c r="N451" s="199"/>
      <c r="P451" s="141" t="str">
        <f t="shared" si="38"/>
        <v/>
      </c>
      <c r="Q451" s="141" t="str">
        <f t="shared" si="39"/>
        <v/>
      </c>
      <c r="AA451" s="141" t="s">
        <v>2066</v>
      </c>
      <c r="AB451" s="141" t="s">
        <v>1247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4"/>
      <c r="F452" s="146" t="str">
        <f t="shared" ref="F452:F501" si="42">IFERROR(VLOOKUP(E452,$AA$5:$AB$500,2,FALSE),"")</f>
        <v/>
      </c>
      <c r="G452" s="183"/>
      <c r="H452" s="183"/>
      <c r="I452" s="183"/>
      <c r="J452" s="199"/>
      <c r="K452" s="198"/>
      <c r="L452" s="198"/>
      <c r="M452" s="199"/>
      <c r="N452" s="199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2067</v>
      </c>
      <c r="AB452" s="141" t="s">
        <v>2068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4"/>
      <c r="F453" s="146" t="str">
        <f t="shared" si="42"/>
        <v/>
      </c>
      <c r="G453" s="183"/>
      <c r="H453" s="183"/>
      <c r="I453" s="183"/>
      <c r="J453" s="199"/>
      <c r="K453" s="198"/>
      <c r="L453" s="198"/>
      <c r="M453" s="199"/>
      <c r="N453" s="199"/>
      <c r="P453" s="141" t="str">
        <f t="shared" si="43"/>
        <v/>
      </c>
      <c r="Q453" s="141" t="str">
        <f t="shared" si="44"/>
        <v/>
      </c>
      <c r="AA453" s="141" t="s">
        <v>2069</v>
      </c>
      <c r="AB453" s="141" t="s">
        <v>2070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4"/>
      <c r="F454" s="146" t="str">
        <f t="shared" si="42"/>
        <v/>
      </c>
      <c r="G454" s="183"/>
      <c r="H454" s="183"/>
      <c r="I454" s="183"/>
      <c r="J454" s="199"/>
      <c r="K454" s="198"/>
      <c r="L454" s="198"/>
      <c r="M454" s="199"/>
      <c r="N454" s="199"/>
      <c r="P454" s="141" t="str">
        <f t="shared" si="43"/>
        <v/>
      </c>
      <c r="Q454" s="141" t="str">
        <f t="shared" si="44"/>
        <v/>
      </c>
      <c r="AA454" s="141" t="s">
        <v>2071</v>
      </c>
      <c r="AB454" s="141" t="s">
        <v>2072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4"/>
      <c r="F455" s="146" t="str">
        <f t="shared" si="42"/>
        <v/>
      </c>
      <c r="G455" s="183"/>
      <c r="H455" s="183"/>
      <c r="I455" s="183"/>
      <c r="J455" s="199"/>
      <c r="K455" s="198"/>
      <c r="L455" s="198"/>
      <c r="M455" s="199"/>
      <c r="N455" s="199"/>
      <c r="P455" s="141" t="str">
        <f t="shared" si="43"/>
        <v/>
      </c>
      <c r="Q455" s="141" t="str">
        <f t="shared" si="44"/>
        <v/>
      </c>
      <c r="AA455" s="141" t="s">
        <v>2073</v>
      </c>
      <c r="AB455" s="141" t="s">
        <v>2074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4"/>
      <c r="F456" s="146" t="str">
        <f t="shared" si="42"/>
        <v/>
      </c>
      <c r="G456" s="183"/>
      <c r="H456" s="183"/>
      <c r="I456" s="183"/>
      <c r="J456" s="199"/>
      <c r="K456" s="198"/>
      <c r="L456" s="198"/>
      <c r="M456" s="199"/>
      <c r="N456" s="199"/>
      <c r="P456" s="141" t="str">
        <f t="shared" si="43"/>
        <v/>
      </c>
      <c r="Q456" s="141" t="str">
        <f t="shared" si="44"/>
        <v/>
      </c>
      <c r="AA456" s="141" t="s">
        <v>2075</v>
      </c>
      <c r="AB456" s="141" t="s">
        <v>2076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4"/>
      <c r="F457" s="146" t="str">
        <f t="shared" si="42"/>
        <v/>
      </c>
      <c r="G457" s="183"/>
      <c r="H457" s="183"/>
      <c r="I457" s="183"/>
      <c r="J457" s="199"/>
      <c r="K457" s="198"/>
      <c r="L457" s="198"/>
      <c r="M457" s="199"/>
      <c r="N457" s="199"/>
      <c r="P457" s="141" t="str">
        <f t="shared" si="43"/>
        <v/>
      </c>
      <c r="Q457" s="141" t="str">
        <f t="shared" si="44"/>
        <v/>
      </c>
      <c r="AA457" s="141" t="s">
        <v>2077</v>
      </c>
      <c r="AB457" s="141" t="s">
        <v>2078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4"/>
      <c r="F458" s="146" t="str">
        <f t="shared" si="42"/>
        <v/>
      </c>
      <c r="G458" s="183"/>
      <c r="H458" s="183"/>
      <c r="I458" s="183"/>
      <c r="J458" s="199"/>
      <c r="K458" s="198"/>
      <c r="L458" s="198"/>
      <c r="M458" s="199"/>
      <c r="N458" s="199"/>
      <c r="P458" s="141" t="str">
        <f t="shared" si="43"/>
        <v/>
      </c>
      <c r="Q458" s="141" t="str">
        <f t="shared" si="44"/>
        <v/>
      </c>
      <c r="AA458" s="141" t="s">
        <v>2079</v>
      </c>
      <c r="AB458" s="141" t="s">
        <v>2080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4"/>
      <c r="F459" s="146" t="str">
        <f t="shared" si="42"/>
        <v/>
      </c>
      <c r="G459" s="183"/>
      <c r="H459" s="183"/>
      <c r="I459" s="183"/>
      <c r="J459" s="199"/>
      <c r="K459" s="198"/>
      <c r="L459" s="198"/>
      <c r="M459" s="199"/>
      <c r="N459" s="199"/>
      <c r="P459" s="141" t="str">
        <f t="shared" si="43"/>
        <v/>
      </c>
      <c r="Q459" s="141" t="str">
        <f t="shared" si="44"/>
        <v/>
      </c>
      <c r="AA459" s="141" t="s">
        <v>2081</v>
      </c>
      <c r="AB459" s="141" t="s">
        <v>2082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4"/>
      <c r="F460" s="146" t="str">
        <f t="shared" si="42"/>
        <v/>
      </c>
      <c r="G460" s="183"/>
      <c r="H460" s="183"/>
      <c r="I460" s="183"/>
      <c r="J460" s="199"/>
      <c r="K460" s="198"/>
      <c r="L460" s="198"/>
      <c r="M460" s="199"/>
      <c r="N460" s="199"/>
      <c r="P460" s="141" t="str">
        <f t="shared" si="43"/>
        <v/>
      </c>
      <c r="Q460" s="141" t="str">
        <f t="shared" si="44"/>
        <v/>
      </c>
      <c r="AA460" s="141" t="s">
        <v>2083</v>
      </c>
      <c r="AB460" s="141" t="s">
        <v>2084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4"/>
      <c r="F461" s="146" t="str">
        <f t="shared" si="42"/>
        <v/>
      </c>
      <c r="G461" s="183"/>
      <c r="H461" s="183"/>
      <c r="I461" s="183"/>
      <c r="J461" s="199"/>
      <c r="K461" s="198"/>
      <c r="L461" s="198"/>
      <c r="M461" s="199"/>
      <c r="N461" s="199"/>
      <c r="P461" s="141" t="str">
        <f t="shared" si="43"/>
        <v/>
      </c>
      <c r="Q461" s="141" t="str">
        <f t="shared" si="44"/>
        <v/>
      </c>
      <c r="AA461" s="141" t="s">
        <v>2085</v>
      </c>
      <c r="AB461" s="141" t="s">
        <v>2086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4"/>
      <c r="F462" s="146" t="str">
        <f t="shared" si="42"/>
        <v/>
      </c>
      <c r="G462" s="183"/>
      <c r="H462" s="183"/>
      <c r="I462" s="183"/>
      <c r="J462" s="199"/>
      <c r="K462" s="198"/>
      <c r="L462" s="198"/>
      <c r="M462" s="199"/>
      <c r="N462" s="199"/>
      <c r="P462" s="141" t="str">
        <f t="shared" si="43"/>
        <v/>
      </c>
      <c r="Q462" s="141" t="str">
        <f t="shared" si="44"/>
        <v/>
      </c>
      <c r="AA462" s="141" t="s">
        <v>2087</v>
      </c>
      <c r="AB462" s="141" t="s">
        <v>2088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4"/>
      <c r="F463" s="146" t="str">
        <f t="shared" si="42"/>
        <v/>
      </c>
      <c r="G463" s="183"/>
      <c r="H463" s="183"/>
      <c r="I463" s="183"/>
      <c r="J463" s="199"/>
      <c r="K463" s="198"/>
      <c r="L463" s="198"/>
      <c r="M463" s="199"/>
      <c r="N463" s="199"/>
      <c r="P463" s="141" t="str">
        <f t="shared" si="43"/>
        <v/>
      </c>
      <c r="Q463" s="141" t="str">
        <f t="shared" si="44"/>
        <v/>
      </c>
      <c r="AA463" s="141" t="s">
        <v>2089</v>
      </c>
      <c r="AB463" s="141" t="s">
        <v>2090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4"/>
      <c r="F464" s="146" t="str">
        <f t="shared" si="42"/>
        <v/>
      </c>
      <c r="G464" s="183"/>
      <c r="H464" s="183"/>
      <c r="I464" s="183"/>
      <c r="J464" s="199"/>
      <c r="K464" s="198"/>
      <c r="L464" s="198"/>
      <c r="M464" s="199"/>
      <c r="N464" s="199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4"/>
      <c r="F465" s="146" t="str">
        <f t="shared" si="42"/>
        <v/>
      </c>
      <c r="G465" s="183"/>
      <c r="H465" s="183"/>
      <c r="I465" s="183"/>
      <c r="J465" s="199"/>
      <c r="K465" s="198"/>
      <c r="L465" s="198"/>
      <c r="M465" s="199"/>
      <c r="N465" s="199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4"/>
      <c r="F466" s="146" t="str">
        <f t="shared" si="42"/>
        <v/>
      </c>
      <c r="G466" s="183"/>
      <c r="H466" s="183"/>
      <c r="I466" s="183"/>
      <c r="J466" s="199"/>
      <c r="K466" s="198"/>
      <c r="L466" s="198"/>
      <c r="M466" s="199"/>
      <c r="N466" s="199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4"/>
      <c r="F467" s="146" t="str">
        <f t="shared" si="42"/>
        <v/>
      </c>
      <c r="G467" s="183"/>
      <c r="H467" s="183"/>
      <c r="I467" s="183"/>
      <c r="J467" s="199"/>
      <c r="K467" s="198"/>
      <c r="L467" s="198"/>
      <c r="M467" s="199"/>
      <c r="N467" s="199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4"/>
      <c r="F468" s="146" t="str">
        <f t="shared" si="42"/>
        <v/>
      </c>
      <c r="G468" s="183"/>
      <c r="H468" s="183"/>
      <c r="I468" s="183"/>
      <c r="J468" s="199"/>
      <c r="K468" s="198"/>
      <c r="L468" s="198"/>
      <c r="M468" s="199"/>
      <c r="N468" s="199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4"/>
      <c r="F469" s="146" t="str">
        <f t="shared" si="42"/>
        <v/>
      </c>
      <c r="G469" s="183"/>
      <c r="H469" s="183"/>
      <c r="I469" s="183"/>
      <c r="J469" s="199"/>
      <c r="K469" s="198"/>
      <c r="L469" s="198"/>
      <c r="M469" s="199"/>
      <c r="N469" s="199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4"/>
      <c r="F470" s="146" t="str">
        <f t="shared" si="42"/>
        <v/>
      </c>
      <c r="G470" s="183"/>
      <c r="H470" s="183"/>
      <c r="I470" s="183"/>
      <c r="J470" s="199"/>
      <c r="K470" s="198"/>
      <c r="L470" s="198"/>
      <c r="M470" s="199"/>
      <c r="N470" s="199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4"/>
      <c r="F471" s="146" t="str">
        <f t="shared" si="42"/>
        <v/>
      </c>
      <c r="G471" s="183"/>
      <c r="H471" s="183"/>
      <c r="I471" s="183"/>
      <c r="J471" s="199"/>
      <c r="K471" s="198"/>
      <c r="L471" s="198"/>
      <c r="M471" s="199"/>
      <c r="N471" s="199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4"/>
      <c r="F472" s="146" t="str">
        <f t="shared" si="42"/>
        <v/>
      </c>
      <c r="G472" s="183"/>
      <c r="H472" s="183"/>
      <c r="I472" s="183"/>
      <c r="J472" s="199"/>
      <c r="K472" s="198"/>
      <c r="L472" s="198"/>
      <c r="M472" s="199"/>
      <c r="N472" s="199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4"/>
      <c r="F473" s="146" t="str">
        <f t="shared" si="42"/>
        <v/>
      </c>
      <c r="G473" s="183"/>
      <c r="H473" s="183"/>
      <c r="I473" s="183"/>
      <c r="J473" s="199"/>
      <c r="K473" s="198"/>
      <c r="L473" s="198"/>
      <c r="M473" s="199"/>
      <c r="N473" s="199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4"/>
      <c r="F474" s="146" t="str">
        <f t="shared" si="42"/>
        <v/>
      </c>
      <c r="G474" s="183"/>
      <c r="H474" s="183"/>
      <c r="I474" s="183"/>
      <c r="J474" s="199"/>
      <c r="K474" s="198"/>
      <c r="L474" s="198"/>
      <c r="M474" s="199"/>
      <c r="N474" s="199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4"/>
      <c r="F475" s="146" t="str">
        <f t="shared" si="42"/>
        <v/>
      </c>
      <c r="G475" s="183"/>
      <c r="H475" s="183"/>
      <c r="I475" s="183"/>
      <c r="J475" s="199"/>
      <c r="K475" s="198"/>
      <c r="L475" s="198"/>
      <c r="M475" s="199"/>
      <c r="N475" s="199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4"/>
      <c r="F476" s="146" t="str">
        <f t="shared" si="42"/>
        <v/>
      </c>
      <c r="G476" s="183"/>
      <c r="H476" s="183"/>
      <c r="I476" s="183"/>
      <c r="J476" s="199"/>
      <c r="K476" s="198"/>
      <c r="L476" s="198"/>
      <c r="M476" s="199"/>
      <c r="N476" s="199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4"/>
      <c r="F477" s="146" t="str">
        <f t="shared" si="42"/>
        <v/>
      </c>
      <c r="G477" s="183"/>
      <c r="H477" s="183"/>
      <c r="I477" s="183"/>
      <c r="J477" s="199"/>
      <c r="K477" s="198"/>
      <c r="L477" s="198"/>
      <c r="M477" s="199"/>
      <c r="N477" s="199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4"/>
      <c r="F478" s="146" t="str">
        <f t="shared" si="42"/>
        <v/>
      </c>
      <c r="G478" s="183"/>
      <c r="H478" s="183"/>
      <c r="I478" s="183"/>
      <c r="J478" s="199"/>
      <c r="K478" s="198"/>
      <c r="L478" s="198"/>
      <c r="M478" s="199"/>
      <c r="N478" s="199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4"/>
      <c r="F479" s="146" t="str">
        <f t="shared" si="42"/>
        <v/>
      </c>
      <c r="G479" s="183"/>
      <c r="H479" s="183"/>
      <c r="I479" s="183"/>
      <c r="J479" s="199"/>
      <c r="K479" s="198"/>
      <c r="L479" s="198"/>
      <c r="M479" s="199"/>
      <c r="N479" s="199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4"/>
      <c r="F480" s="146" t="str">
        <f t="shared" si="42"/>
        <v/>
      </c>
      <c r="G480" s="183"/>
      <c r="H480" s="183"/>
      <c r="I480" s="183"/>
      <c r="J480" s="199"/>
      <c r="K480" s="198"/>
      <c r="L480" s="198"/>
      <c r="M480" s="199"/>
      <c r="N480" s="199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4"/>
      <c r="F481" s="146" t="str">
        <f t="shared" si="42"/>
        <v/>
      </c>
      <c r="G481" s="183"/>
      <c r="H481" s="183"/>
      <c r="I481" s="183"/>
      <c r="J481" s="199"/>
      <c r="K481" s="198"/>
      <c r="L481" s="198"/>
      <c r="M481" s="199"/>
      <c r="N481" s="199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4"/>
      <c r="F482" s="146" t="str">
        <f t="shared" si="42"/>
        <v/>
      </c>
      <c r="G482" s="183"/>
      <c r="H482" s="183"/>
      <c r="I482" s="183"/>
      <c r="J482" s="199"/>
      <c r="K482" s="198"/>
      <c r="L482" s="198"/>
      <c r="M482" s="199"/>
      <c r="N482" s="199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4"/>
      <c r="F483" s="146" t="str">
        <f t="shared" si="42"/>
        <v/>
      </c>
      <c r="G483" s="183"/>
      <c r="H483" s="183"/>
      <c r="I483" s="183"/>
      <c r="J483" s="199"/>
      <c r="K483" s="198"/>
      <c r="L483" s="198"/>
      <c r="M483" s="199"/>
      <c r="N483" s="199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4"/>
      <c r="F484" s="146" t="str">
        <f t="shared" si="42"/>
        <v/>
      </c>
      <c r="G484" s="183"/>
      <c r="H484" s="183"/>
      <c r="I484" s="183"/>
      <c r="J484" s="199"/>
      <c r="K484" s="198"/>
      <c r="L484" s="198"/>
      <c r="M484" s="199"/>
      <c r="N484" s="199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4"/>
      <c r="F485" s="146" t="str">
        <f t="shared" si="42"/>
        <v/>
      </c>
      <c r="G485" s="183"/>
      <c r="H485" s="183"/>
      <c r="I485" s="183"/>
      <c r="J485" s="199"/>
      <c r="K485" s="198"/>
      <c r="L485" s="198"/>
      <c r="M485" s="199"/>
      <c r="N485" s="199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4"/>
      <c r="F486" s="146" t="str">
        <f t="shared" si="42"/>
        <v/>
      </c>
      <c r="G486" s="183"/>
      <c r="H486" s="183"/>
      <c r="I486" s="183"/>
      <c r="J486" s="199"/>
      <c r="K486" s="198"/>
      <c r="L486" s="198"/>
      <c r="M486" s="199"/>
      <c r="N486" s="199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4"/>
      <c r="F487" s="146" t="str">
        <f t="shared" si="42"/>
        <v/>
      </c>
      <c r="G487" s="183"/>
      <c r="H487" s="183"/>
      <c r="I487" s="183"/>
      <c r="J487" s="199"/>
      <c r="K487" s="198"/>
      <c r="L487" s="198"/>
      <c r="M487" s="199"/>
      <c r="N487" s="199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4"/>
      <c r="F488" s="146" t="str">
        <f t="shared" si="42"/>
        <v/>
      </c>
      <c r="G488" s="183"/>
      <c r="H488" s="183"/>
      <c r="I488" s="183"/>
      <c r="J488" s="199"/>
      <c r="K488" s="198"/>
      <c r="L488" s="198"/>
      <c r="M488" s="199"/>
      <c r="N488" s="199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4"/>
      <c r="F489" s="146" t="str">
        <f t="shared" si="42"/>
        <v/>
      </c>
      <c r="G489" s="183"/>
      <c r="H489" s="183"/>
      <c r="I489" s="183"/>
      <c r="J489" s="199"/>
      <c r="K489" s="198"/>
      <c r="L489" s="198"/>
      <c r="M489" s="199"/>
      <c r="N489" s="199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4"/>
      <c r="F490" s="146" t="str">
        <f t="shared" si="42"/>
        <v/>
      </c>
      <c r="G490" s="183"/>
      <c r="H490" s="183"/>
      <c r="I490" s="183"/>
      <c r="J490" s="199"/>
      <c r="K490" s="198"/>
      <c r="L490" s="198"/>
      <c r="M490" s="199"/>
      <c r="N490" s="199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4"/>
      <c r="F491" s="146" t="str">
        <f t="shared" si="42"/>
        <v/>
      </c>
      <c r="G491" s="183"/>
      <c r="H491" s="183"/>
      <c r="I491" s="183"/>
      <c r="J491" s="199"/>
      <c r="K491" s="198"/>
      <c r="L491" s="198"/>
      <c r="M491" s="199"/>
      <c r="N491" s="199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4"/>
      <c r="F492" s="146" t="str">
        <f t="shared" si="42"/>
        <v/>
      </c>
      <c r="G492" s="183"/>
      <c r="H492" s="183"/>
      <c r="I492" s="183"/>
      <c r="J492" s="199"/>
      <c r="K492" s="198"/>
      <c r="L492" s="198"/>
      <c r="M492" s="199"/>
      <c r="N492" s="199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4"/>
      <c r="F493" s="146" t="str">
        <f t="shared" si="42"/>
        <v/>
      </c>
      <c r="G493" s="183"/>
      <c r="H493" s="183"/>
      <c r="I493" s="183"/>
      <c r="J493" s="199"/>
      <c r="K493" s="198"/>
      <c r="L493" s="198"/>
      <c r="M493" s="199"/>
      <c r="N493" s="199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4"/>
      <c r="F494" s="146" t="str">
        <f t="shared" si="42"/>
        <v/>
      </c>
      <c r="G494" s="183"/>
      <c r="H494" s="183"/>
      <c r="I494" s="183"/>
      <c r="J494" s="199"/>
      <c r="K494" s="198"/>
      <c r="L494" s="198"/>
      <c r="M494" s="199"/>
      <c r="N494" s="199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4"/>
      <c r="F495" s="146" t="str">
        <f t="shared" si="42"/>
        <v/>
      </c>
      <c r="G495" s="183"/>
      <c r="H495" s="183"/>
      <c r="I495" s="183"/>
      <c r="J495" s="199"/>
      <c r="K495" s="198"/>
      <c r="L495" s="198"/>
      <c r="M495" s="199"/>
      <c r="N495" s="199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4"/>
      <c r="F496" s="146" t="str">
        <f t="shared" si="42"/>
        <v/>
      </c>
      <c r="G496" s="183"/>
      <c r="H496" s="183"/>
      <c r="I496" s="183"/>
      <c r="J496" s="199"/>
      <c r="K496" s="198"/>
      <c r="L496" s="198"/>
      <c r="M496" s="199"/>
      <c r="N496" s="199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4"/>
      <c r="F497" s="146" t="str">
        <f t="shared" si="42"/>
        <v/>
      </c>
      <c r="G497" s="183"/>
      <c r="H497" s="183"/>
      <c r="I497" s="183"/>
      <c r="J497" s="199"/>
      <c r="K497" s="198"/>
      <c r="L497" s="198"/>
      <c r="M497" s="199"/>
      <c r="N497" s="199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4"/>
      <c r="F498" s="146" t="str">
        <f t="shared" si="42"/>
        <v/>
      </c>
      <c r="G498" s="183"/>
      <c r="H498" s="183"/>
      <c r="I498" s="183"/>
      <c r="J498" s="199"/>
      <c r="K498" s="198"/>
      <c r="L498" s="198"/>
      <c r="M498" s="199"/>
      <c r="N498" s="199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4"/>
      <c r="F499" s="146" t="str">
        <f t="shared" si="42"/>
        <v/>
      </c>
      <c r="G499" s="183"/>
      <c r="H499" s="183"/>
      <c r="I499" s="183"/>
      <c r="J499" s="199"/>
      <c r="K499" s="198"/>
      <c r="L499" s="198"/>
      <c r="M499" s="199"/>
      <c r="N499" s="199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4"/>
      <c r="F500" s="146" t="str">
        <f t="shared" si="42"/>
        <v/>
      </c>
      <c r="G500" s="183"/>
      <c r="H500" s="183"/>
      <c r="I500" s="183"/>
      <c r="J500" s="199"/>
      <c r="K500" s="198"/>
      <c r="L500" s="198"/>
      <c r="M500" s="199"/>
      <c r="N500" s="199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4"/>
      <c r="F501" s="146" t="str">
        <f t="shared" si="42"/>
        <v/>
      </c>
      <c r="G501" s="183"/>
      <c r="H501" s="183"/>
      <c r="I501" s="183"/>
      <c r="J501" s="199"/>
      <c r="K501" s="198"/>
      <c r="L501" s="198"/>
      <c r="M501" s="199"/>
      <c r="N501" s="199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107" activePane="bottomLeft" state="frozen"/>
      <selection pane="bottomLeft" activeCell="G89" sqref="G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2" t="s">
        <v>2091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76"/>
    </row>
    <row r="2" spans="1:29" s="90" customFormat="1">
      <c r="B2" s="89"/>
      <c r="C2" s="89"/>
      <c r="D2" s="89"/>
      <c r="V2" s="91" t="s">
        <v>2092</v>
      </c>
      <c r="W2" s="91"/>
    </row>
    <row r="3" spans="1:29" s="90" customFormat="1" ht="15.6" customHeight="1">
      <c r="B3" s="293" t="s">
        <v>2093</v>
      </c>
      <c r="C3" s="294"/>
      <c r="D3" s="295" t="s">
        <v>2094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4"/>
    </row>
    <row r="4" spans="1:29" s="90" customFormat="1" ht="89.25">
      <c r="A4" s="92" t="s">
        <v>2095</v>
      </c>
      <c r="B4" s="92" t="s">
        <v>2096</v>
      </c>
      <c r="C4" s="92" t="s">
        <v>2097</v>
      </c>
      <c r="D4" s="277" t="s">
        <v>2098</v>
      </c>
      <c r="E4" s="215" t="s">
        <v>2099</v>
      </c>
      <c r="F4" s="215" t="s">
        <v>2100</v>
      </c>
      <c r="G4" s="216" t="s">
        <v>2101</v>
      </c>
      <c r="H4" s="216" t="s">
        <v>2102</v>
      </c>
      <c r="I4" s="216" t="s">
        <v>2103</v>
      </c>
      <c r="J4" s="216" t="s">
        <v>2104</v>
      </c>
      <c r="K4" s="216" t="s">
        <v>2105</v>
      </c>
      <c r="L4" s="216" t="s">
        <v>2106</v>
      </c>
      <c r="M4" s="216" t="s">
        <v>2107</v>
      </c>
      <c r="N4" s="216" t="s">
        <v>2108</v>
      </c>
      <c r="O4" s="216" t="s">
        <v>2109</v>
      </c>
      <c r="P4" s="216" t="s">
        <v>2110</v>
      </c>
      <c r="Q4" s="216" t="s">
        <v>2111</v>
      </c>
      <c r="R4" s="216" t="s">
        <v>2112</v>
      </c>
      <c r="S4" s="216" t="s">
        <v>2113</v>
      </c>
      <c r="T4" s="93" t="s">
        <v>2114</v>
      </c>
      <c r="U4" s="93" t="s">
        <v>2115</v>
      </c>
      <c r="V4" s="93" t="s">
        <v>2116</v>
      </c>
      <c r="W4" s="93" t="s">
        <v>2117</v>
      </c>
    </row>
    <row r="5" spans="1:29" s="90" customFormat="1" ht="19.5" customHeight="1">
      <c r="A5" s="90">
        <v>2021</v>
      </c>
      <c r="B5" s="95"/>
      <c r="C5" s="96" t="s">
        <v>98</v>
      </c>
      <c r="D5" s="70">
        <f>SUM(E5:W5)</f>
        <v>1893480</v>
      </c>
      <c r="E5" s="3"/>
      <c r="F5" s="3"/>
      <c r="G5" s="3">
        <v>515000</v>
      </c>
      <c r="H5" s="3"/>
      <c r="I5" s="3">
        <v>631080</v>
      </c>
      <c r="J5" s="3">
        <v>747400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2118</v>
      </c>
      <c r="D6" s="70">
        <f>SUM(E6:W6)</f>
        <v>22909614</v>
      </c>
      <c r="E6" s="14">
        <f>+E27+E34</f>
        <v>16743890</v>
      </c>
      <c r="F6" s="14">
        <f t="shared" ref="F6:V6" si="0">+F27+F34</f>
        <v>0</v>
      </c>
      <c r="G6" s="14">
        <f t="shared" si="0"/>
        <v>1910000</v>
      </c>
      <c r="H6" s="14">
        <f>+H27+H34</f>
        <v>0</v>
      </c>
      <c r="I6" s="14">
        <f t="shared" si="0"/>
        <v>3405320</v>
      </c>
      <c r="J6" s="14">
        <f t="shared" si="0"/>
        <v>437300</v>
      </c>
      <c r="K6" s="14">
        <f t="shared" si="0"/>
        <v>275604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137500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2119</v>
      </c>
      <c r="D7" s="70">
        <f t="shared" ref="D7:D41" si="1">SUM(E7:W7)</f>
        <v>-1293300</v>
      </c>
      <c r="E7" s="113">
        <v>0</v>
      </c>
      <c r="F7" s="113"/>
      <c r="G7" s="113">
        <v>-400000</v>
      </c>
      <c r="H7" s="113"/>
      <c r="I7" s="113">
        <v>-400000</v>
      </c>
      <c r="J7" s="113">
        <v>-493300</v>
      </c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2120</v>
      </c>
      <c r="D8" s="70">
        <f t="shared" si="1"/>
        <v>23509794</v>
      </c>
      <c r="E8" s="14">
        <f>+E5+E6+E7</f>
        <v>16743890</v>
      </c>
      <c r="F8" s="14">
        <f t="shared" ref="F8:V8" si="2">+F5+F6+F7</f>
        <v>0</v>
      </c>
      <c r="G8" s="14">
        <f t="shared" si="2"/>
        <v>2025000</v>
      </c>
      <c r="H8" s="14">
        <f>+H5+H6+H7</f>
        <v>0</v>
      </c>
      <c r="I8" s="14">
        <f t="shared" si="2"/>
        <v>3636400</v>
      </c>
      <c r="J8" s="14">
        <f t="shared" si="2"/>
        <v>691400</v>
      </c>
      <c r="K8" s="14">
        <f t="shared" si="2"/>
        <v>275604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137500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2121</v>
      </c>
      <c r="D9" s="70">
        <f t="shared" si="1"/>
        <v>23509794</v>
      </c>
      <c r="E9" s="136">
        <f>+'PLAN RASHODA I IZDATAKA'!E3</f>
        <v>16743890</v>
      </c>
      <c r="F9" s="136">
        <f>+'PLAN RASHODA I IZDATAKA'!F3</f>
        <v>0</v>
      </c>
      <c r="G9" s="136">
        <f>+'PLAN RASHODA I IZDATAKA'!G3</f>
        <v>2025000</v>
      </c>
      <c r="H9" s="136">
        <f>+'PLAN RASHODA I IZDATAKA'!H3</f>
        <v>0</v>
      </c>
      <c r="I9" s="136">
        <f>+'PLAN RASHODA I IZDATAKA'!I3</f>
        <v>3636400</v>
      </c>
      <c r="J9" s="136">
        <f>+'PLAN RASHODA I IZDATAKA'!J3</f>
        <v>691400</v>
      </c>
      <c r="K9" s="136">
        <f>+'PLAN RASHODA I IZDATAKA'!K3</f>
        <v>275604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137500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2122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2123</v>
      </c>
      <c r="C11" s="110" t="s">
        <v>2124</v>
      </c>
      <c r="D11" s="70">
        <f>SUM(E11:W11)</f>
        <v>0</v>
      </c>
      <c r="E11" s="187">
        <f>SUMIFS('Plan prihoda za unos u SAP'!$G$3:$G$501,'Plan prihoda za unos u SAP'!$C$3:$C$501,"=11",'Plan prihoda za unos u SAP'!$K$3:$K$501,"=614")</f>
        <v>0</v>
      </c>
      <c r="F11" s="187">
        <f>SUMIFS('Plan prihoda za unos u SAP'!$G$3:$G$501,'Plan prihoda za unos u SAP'!$C$3:$C$501,"=12",'Plan prihoda za unos u SAP'!$K$3:$K$501,"=614")</f>
        <v>0</v>
      </c>
      <c r="G11" s="187">
        <f>SUMIFS('Plan prihoda za unos u SAP'!$G$3:$G$501,'Plan prihoda za unos u SAP'!$C$3:$C$501,"=31",'Plan prihoda za unos u SAP'!$K$3:$K$501,"=614")</f>
        <v>0</v>
      </c>
      <c r="H11" s="187">
        <f>SUMIFS('Plan prihoda za unos u SAP'!$G$3:$G$501,'Plan prihoda za unos u SAP'!$C$3:$C$501,"=41",'Plan prihoda za unos u SAP'!$K$3:$K$501,"=614")</f>
        <v>0</v>
      </c>
      <c r="I11" s="187">
        <f>SUMIFS('Plan prihoda za unos u SAP'!$G$3:$G$501,'Plan prihoda za unos u SAP'!$C$3:$C$501,"=43",'Plan prihoda za unos u SAP'!$K$3:$K$501,"=614")</f>
        <v>0</v>
      </c>
      <c r="J11" s="187">
        <f>SUMIFS('Plan prihoda za unos u SAP'!$G$3:$G$501,'Plan prihoda za unos u SAP'!$C$3:$C$501,"=51",'Plan prihoda za unos u SAP'!$K$3:$K$501,"=614")</f>
        <v>0</v>
      </c>
      <c r="K11" s="187">
        <f>SUMIFS('Plan prihoda za unos u SAP'!$G$3:$G$501,'Plan prihoda za unos u SAP'!$C$3:$C$501,"=52",'Plan prihoda za unos u SAP'!$K$3:$K$501,"=614")</f>
        <v>0</v>
      </c>
      <c r="L11" s="187">
        <f>SUMIFS('Plan prihoda za unos u SAP'!$G$3:$G$501,'Plan prihoda za unos u SAP'!$C$3:$C$501,"=552",'Plan prihoda za unos u SAP'!$K$3:$K$501,"=614")</f>
        <v>0</v>
      </c>
      <c r="M11" s="187">
        <f>SUMIFS('Plan prihoda za unos u SAP'!$G$3:$G$501,'Plan prihoda za unos u SAP'!$C$3:$C$501,"=559",'Plan prihoda za unos u SAP'!$K$3:$K$501,"=614")</f>
        <v>0</v>
      </c>
      <c r="N11" s="187">
        <f>SUMIFS('Plan prihoda za unos u SAP'!$G$3:$G$501,'Plan prihoda za unos u SAP'!$C$3:$C$501,"=561",'Plan prihoda za unos u SAP'!$K$3:$K$501,"=614")</f>
        <v>0</v>
      </c>
      <c r="O11" s="187">
        <f>SUMIFS('Plan prihoda za unos u SAP'!$G$3:$G$501,'Plan prihoda za unos u SAP'!$C$3:$C$501,"=563",'Plan prihoda za unos u SAP'!$K$3:$K$501,"=614")</f>
        <v>0</v>
      </c>
      <c r="P11" s="187">
        <f>SUMIFS('Plan prihoda za unos u SAP'!$G$3:$G$501,'Plan prihoda za unos u SAP'!$C$3:$C$501,"=573",'Plan prihoda za unos u SAP'!$K$3:$K$501,"=614")</f>
        <v>0</v>
      </c>
      <c r="Q11" s="187">
        <f>SUMIFS('Plan prihoda za unos u SAP'!$G$3:$G$501,'Plan prihoda za unos u SAP'!$C$3:$C$501,"=575",'Plan prihoda za unos u SAP'!$K$3:$K$501,"=614")</f>
        <v>0</v>
      </c>
      <c r="R11" s="187">
        <f>SUMIFS('Plan prihoda za unos u SAP'!$G$3:$G$501,'Plan prihoda za unos u SAP'!$C$3:$C$501,"=576",'Plan prihoda za unos u SAP'!$K$3:$K$501,"=614")</f>
        <v>0</v>
      </c>
      <c r="S11" s="187">
        <f>SUMIFS('Plan prihoda za unos u SAP'!$G$3:$G$501,'Plan prihoda za unos u SAP'!$C$3:$C$501,"=61",'Plan prihoda za unos u SAP'!$K$3:$K$501,"=614")</f>
        <v>0</v>
      </c>
      <c r="T11" s="187">
        <f>SUMIFS('Plan prihoda za unos u SAP'!$G$3:$G$501,'Plan prihoda za unos u SAP'!$C$3:$C$501,"=63",'Plan prihoda za unos u SAP'!$K$3:$K$501,"=614")</f>
        <v>0</v>
      </c>
      <c r="U11" s="187">
        <f>SUMIFS('Plan prihoda za unos u SAP'!$G$3:$G$501,'Plan prihoda za unos u SAP'!$C$3:$C$501,"=71",'Plan prihoda za unos u SAP'!$K$3:$K$501,"=614")</f>
        <v>0</v>
      </c>
      <c r="V11" s="187">
        <f>SUMIFS('Plan prihoda za unos u SAP'!$G$3:$G$501,'Plan prihoda za unos u SAP'!$C$3:$C$501,"=81",'Plan prihoda za unos u SAP'!$K$3:$K$501,"=614")</f>
        <v>0</v>
      </c>
      <c r="W11" s="187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2125</v>
      </c>
      <c r="C12" s="110" t="s">
        <v>2126</v>
      </c>
      <c r="D12" s="70">
        <f t="shared" si="1"/>
        <v>0</v>
      </c>
      <c r="E12" s="187">
        <f>SUMIFS('Plan prihoda za unos u SAP'!$G$3:$G$501,'Plan prihoda za unos u SAP'!$C$3:$C$501,"=11",'Plan prihoda za unos u SAP'!$K$3:$K$501,"=631")</f>
        <v>0</v>
      </c>
      <c r="F12" s="187">
        <f>SUMIFS('Plan prihoda za unos u SAP'!$G$3:$G$501,'Plan prihoda za unos u SAP'!$C$3:$C$501,"=12",'Plan prihoda za unos u SAP'!$K$3:$K$501,"=631")</f>
        <v>0</v>
      </c>
      <c r="G12" s="187">
        <f>SUMIFS('Plan prihoda za unos u SAP'!$G$3:$G$501,'Plan prihoda za unos u SAP'!$C$3:$C$501,"=31",'Plan prihoda za unos u SAP'!$K$3:$K$501,"=631")</f>
        <v>0</v>
      </c>
      <c r="H12" s="187">
        <f>SUMIFS('Plan prihoda za unos u SAP'!$G$3:$G$501,'Plan prihoda za unos u SAP'!$C$3:$C$501,"=41",'Plan prihoda za unos u SAP'!$K$3:$K$501,"=631")</f>
        <v>0</v>
      </c>
      <c r="I12" s="187">
        <f>SUMIFS('Plan prihoda za unos u SAP'!$G$3:$G$501,'Plan prihoda za unos u SAP'!$C$3:$C$501,"=43",'Plan prihoda za unos u SAP'!$K$3:$K$501,"=631")</f>
        <v>0</v>
      </c>
      <c r="J12" s="187">
        <f>SUMIFS('Plan prihoda za unos u SAP'!$G$3:$G$501,'Plan prihoda za unos u SAP'!$C$3:$C$501,"=51",'Plan prihoda za unos u SAP'!$K$3:$K$501,"=631")</f>
        <v>0</v>
      </c>
      <c r="K12" s="187">
        <f>SUMIFS('Plan prihoda za unos u SAP'!$G$3:$G$501,'Plan prihoda za unos u SAP'!$C$3:$C$501,"=52",'Plan prihoda za unos u SAP'!$K$3:$K$501,"=631")</f>
        <v>0</v>
      </c>
      <c r="L12" s="187">
        <f>SUMIFS('Plan prihoda za unos u SAP'!$G$3:$G$501,'Plan prihoda za unos u SAP'!$C$3:$C$501,"=552",'Plan prihoda za unos u SAP'!$K$3:$K$501,"=631")</f>
        <v>0</v>
      </c>
      <c r="M12" s="187">
        <f>SUMIFS('Plan prihoda za unos u SAP'!$G$3:$G$501,'Plan prihoda za unos u SAP'!$C$3:$C$501,"=559",'Plan prihoda za unos u SAP'!$K$3:$K$501,"=631")</f>
        <v>0</v>
      </c>
      <c r="N12" s="187">
        <f>SUMIFS('Plan prihoda za unos u SAP'!$G$3:$G$501,'Plan prihoda za unos u SAP'!$C$3:$C$501,"=561",'Plan prihoda za unos u SAP'!$K$3:$K$501,"=631")</f>
        <v>0</v>
      </c>
      <c r="O12" s="187">
        <f>SUMIFS('Plan prihoda za unos u SAP'!$G$3:$G$501,'Plan prihoda za unos u SAP'!$C$3:$C$501,"=563",'Plan prihoda za unos u SAP'!$K$3:$K$501,"=631")</f>
        <v>0</v>
      </c>
      <c r="P12" s="187">
        <f>SUMIFS('Plan prihoda za unos u SAP'!$G$3:$G$501,'Plan prihoda za unos u SAP'!$C$3:$C$501,"=573",'Plan prihoda za unos u SAP'!$K$3:$K$501,"=631")</f>
        <v>0</v>
      </c>
      <c r="Q12" s="187">
        <f>SUMIFS('Plan prihoda za unos u SAP'!$G$3:$G$501,'Plan prihoda za unos u SAP'!$C$3:$C$501,"=575",'Plan prihoda za unos u SAP'!$K$3:$K$501,"=631")</f>
        <v>0</v>
      </c>
      <c r="R12" s="187">
        <f>SUMIFS('Plan prihoda za unos u SAP'!$G$3:$G$501,'Plan prihoda za unos u SAP'!$C$3:$C$501,"=576",'Plan prihoda za unos u SAP'!$K$3:$K$501,"=631")</f>
        <v>0</v>
      </c>
      <c r="S12" s="187">
        <f>SUMIFS('Plan prihoda za unos u SAP'!$G$3:$G$501,'Plan prihoda za unos u SAP'!$C$3:$C$501,"=61",'Plan prihoda za unos u SAP'!$K$3:$K$501,"=631")</f>
        <v>0</v>
      </c>
      <c r="T12" s="187">
        <f>SUMIFS('Plan prihoda za unos u SAP'!$G$3:$G$501,'Plan prihoda za unos u SAP'!$C$3:$C$501,"=63",'Plan prihoda za unos u SAP'!$K$3:$K$501,"=631")</f>
        <v>0</v>
      </c>
      <c r="U12" s="187">
        <f>SUMIFS('Plan prihoda za unos u SAP'!$G$3:$G$501,'Plan prihoda za unos u SAP'!$C$3:$C$501,"=71",'Plan prihoda za unos u SAP'!$K$3:$K$501,"=631")</f>
        <v>0</v>
      </c>
      <c r="V12" s="187">
        <f>SUMIFS('Plan prihoda za unos u SAP'!$G$3:$G$501,'Plan prihoda za unos u SAP'!$C$3:$C$501,"=81",'Plan prihoda za unos u SAP'!$K$3:$K$501,"=631")</f>
        <v>0</v>
      </c>
      <c r="W12" s="187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2127</v>
      </c>
      <c r="C13" s="96" t="s">
        <v>2128</v>
      </c>
      <c r="D13" s="70">
        <f t="shared" si="1"/>
        <v>437300</v>
      </c>
      <c r="E13" s="187">
        <f>SUMIFS('Plan prihoda za unos u SAP'!$G$3:$G$501,'Plan prihoda za unos u SAP'!$C$3:$C$501,"=11",'Plan prihoda za unos u SAP'!$K$3:$K$501,"=632")</f>
        <v>0</v>
      </c>
      <c r="F13" s="187">
        <f>SUMIFS('Plan prihoda za unos u SAP'!$G$3:$G$501,'Plan prihoda za unos u SAP'!$C$3:$C$501,"=12",'Plan prihoda za unos u SAP'!$K$3:$K$501,"=632")</f>
        <v>0</v>
      </c>
      <c r="G13" s="187">
        <f>SUMIFS('Plan prihoda za unos u SAP'!$G$3:$G$501,'Plan prihoda za unos u SAP'!$C$3:$C$501,"=31",'Plan prihoda za unos u SAP'!$K$3:$K$501,"=632")</f>
        <v>0</v>
      </c>
      <c r="H13" s="187">
        <f>SUMIFS('Plan prihoda za unos u SAP'!$G$3:$G$501,'Plan prihoda za unos u SAP'!$C$3:$C$501,"=41",'Plan prihoda za unos u SAP'!$K$3:$K$501,"=632")</f>
        <v>0</v>
      </c>
      <c r="I13" s="187">
        <f>SUMIFS('Plan prihoda za unos u SAP'!$G$3:$G$501,'Plan prihoda za unos u SAP'!$C$3:$C$501,"=43",'Plan prihoda za unos u SAP'!$K$3:$K$501,"=632")</f>
        <v>0</v>
      </c>
      <c r="J13" s="187">
        <f>SUMIFS('Plan prihoda za unos u SAP'!$G$3:$G$501,'Plan prihoda za unos u SAP'!$C$3:$C$501,"=51",'Plan prihoda za unos u SAP'!$K$3:$K$501,"=632")</f>
        <v>437300</v>
      </c>
      <c r="K13" s="187">
        <f>SUMIFS('Plan prihoda za unos u SAP'!$G$3:$G$501,'Plan prihoda za unos u SAP'!$C$3:$C$501,"=52",'Plan prihoda za unos u SAP'!$K$3:$K$501,"=632")</f>
        <v>0</v>
      </c>
      <c r="L13" s="187">
        <f>SUMIFS('Plan prihoda za unos u SAP'!$G$3:$G$501,'Plan prihoda za unos u SAP'!$C$3:$C$501,"=552",'Plan prihoda za unos u SAP'!$K$3:$K$501,"=632")</f>
        <v>0</v>
      </c>
      <c r="M13" s="187">
        <f>SUMIFS('Plan prihoda za unos u SAP'!$G$3:$G$501,'Plan prihoda za unos u SAP'!$C$3:$C$501,"=559",'Plan prihoda za unos u SAP'!$K$3:$K$501,"=632")</f>
        <v>0</v>
      </c>
      <c r="N13" s="187">
        <f>SUMIFS('Plan prihoda za unos u SAP'!$G$3:$G$501,'Plan prihoda za unos u SAP'!$C$3:$C$501,"=561",'Plan prihoda za unos u SAP'!$K$3:$K$501,"=632")</f>
        <v>0</v>
      </c>
      <c r="O13" s="187">
        <f>SUMIFS('Plan prihoda za unos u SAP'!$G$3:$G$501,'Plan prihoda za unos u SAP'!$C$3:$C$501,"=563",'Plan prihoda za unos u SAP'!$K$3:$K$501,"=632")</f>
        <v>0</v>
      </c>
      <c r="P13" s="187">
        <f>SUMIFS('Plan prihoda za unos u SAP'!$G$3:$G$501,'Plan prihoda za unos u SAP'!$C$3:$C$501,"=573",'Plan prihoda za unos u SAP'!$K$3:$K$501,"=632")</f>
        <v>0</v>
      </c>
      <c r="Q13" s="187">
        <f>SUMIFS('Plan prihoda za unos u SAP'!$G$3:$G$501,'Plan prihoda za unos u SAP'!$C$3:$C$501,"=575",'Plan prihoda za unos u SAP'!$K$3:$K$501,"=632")</f>
        <v>0</v>
      </c>
      <c r="R13" s="187">
        <f>SUMIFS('Plan prihoda za unos u SAP'!$G$3:$G$501,'Plan prihoda za unos u SAP'!$C$3:$C$501,"=576",'Plan prihoda za unos u SAP'!$K$3:$K$501,"=632")</f>
        <v>0</v>
      </c>
      <c r="S13" s="187">
        <f>SUMIFS('Plan prihoda za unos u SAP'!$G$3:$G$501,'Plan prihoda za unos u SAP'!$C$3:$C$501,"=61",'Plan prihoda za unos u SAP'!$K$3:$K$501,"=632")</f>
        <v>0</v>
      </c>
      <c r="T13" s="187">
        <f>SUMIFS('Plan prihoda za unos u SAP'!$G$3:$G$501,'Plan prihoda za unos u SAP'!$C$3:$C$501,"=63",'Plan prihoda za unos u SAP'!$K$3:$K$501,"=632")</f>
        <v>0</v>
      </c>
      <c r="U13" s="187">
        <f>SUMIFS('Plan prihoda za unos u SAP'!$G$3:$G$501,'Plan prihoda za unos u SAP'!$C$3:$C$501,"=71",'Plan prihoda za unos u SAP'!$K$3:$K$501,"=632")</f>
        <v>0</v>
      </c>
      <c r="V13" s="187">
        <f>SUMIFS('Plan prihoda za unos u SAP'!$G$3:$G$501,'Plan prihoda za unos u SAP'!$C$3:$C$501,"=81",'Plan prihoda za unos u SAP'!$K$3:$K$501,"=632")</f>
        <v>0</v>
      </c>
      <c r="W13" s="187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2129</v>
      </c>
      <c r="C14" s="96" t="s">
        <v>2130</v>
      </c>
      <c r="D14" s="70">
        <f t="shared" si="1"/>
        <v>0</v>
      </c>
      <c r="E14" s="187">
        <f>SUMIFS('Plan prihoda za unos u SAP'!$G$3:$G$501,'Plan prihoda za unos u SAP'!$C$3:$C$501,"=11",'Plan prihoda za unos u SAP'!$K$3:$K$501,"=634")</f>
        <v>0</v>
      </c>
      <c r="F14" s="187">
        <f>SUMIFS('Plan prihoda za unos u SAP'!$G$3:$G$501,'Plan prihoda za unos u SAP'!$C$3:$C$501,"=12",'Plan prihoda za unos u SAP'!$K$3:$K$501,"=634")</f>
        <v>0</v>
      </c>
      <c r="G14" s="187">
        <f>SUMIFS('Plan prihoda za unos u SAP'!$G$3:$G$501,'Plan prihoda za unos u SAP'!$C$3:$C$501,"=31",'Plan prihoda za unos u SAP'!$K$3:$K$501,"=634")</f>
        <v>0</v>
      </c>
      <c r="H14" s="187">
        <f>SUMIFS('Plan prihoda za unos u SAP'!$G$3:$G$501,'Plan prihoda za unos u SAP'!$C$3:$C$501,"=41",'Plan prihoda za unos u SAP'!$K$3:$K$501,"=634")</f>
        <v>0</v>
      </c>
      <c r="I14" s="187">
        <f>SUMIFS('Plan prihoda za unos u SAP'!$G$3:$G$501,'Plan prihoda za unos u SAP'!$C$3:$C$501,"=43",'Plan prihoda za unos u SAP'!$K$3:$K$501,"=634")</f>
        <v>0</v>
      </c>
      <c r="J14" s="187">
        <f>SUMIFS('Plan prihoda za unos u SAP'!$G$3:$G$501,'Plan prihoda za unos u SAP'!$C$3:$C$501,"=51",'Plan prihoda za unos u SAP'!$K$3:$K$501,"=634")</f>
        <v>0</v>
      </c>
      <c r="K14" s="187">
        <f>SUMIFS('Plan prihoda za unos u SAP'!$G$3:$G$501,'Plan prihoda za unos u SAP'!$C$3:$C$501,"=52",'Plan prihoda za unos u SAP'!$K$3:$K$501,"=634")</f>
        <v>0</v>
      </c>
      <c r="L14" s="187">
        <f>SUMIFS('Plan prihoda za unos u SAP'!$G$3:$G$501,'Plan prihoda za unos u SAP'!$C$3:$C$501,"=552",'Plan prihoda za unos u SAP'!$K$3:$K$501,"=634")</f>
        <v>0</v>
      </c>
      <c r="M14" s="187">
        <f>SUMIFS('Plan prihoda za unos u SAP'!$G$3:$G$501,'Plan prihoda za unos u SAP'!$C$3:$C$501,"=559",'Plan prihoda za unos u SAP'!$K$3:$K$501,"=634")</f>
        <v>0</v>
      </c>
      <c r="N14" s="187">
        <f>SUMIFS('Plan prihoda za unos u SAP'!$G$3:$G$501,'Plan prihoda za unos u SAP'!$C$3:$C$501,"=561",'Plan prihoda za unos u SAP'!$K$3:$K$501,"=634")</f>
        <v>0</v>
      </c>
      <c r="O14" s="187">
        <f>SUMIFS('Plan prihoda za unos u SAP'!$G$3:$G$501,'Plan prihoda za unos u SAP'!$C$3:$C$501,"=563",'Plan prihoda za unos u SAP'!$K$3:$K$501,"=634")</f>
        <v>0</v>
      </c>
      <c r="P14" s="187">
        <f>SUMIFS('Plan prihoda za unos u SAP'!$G$3:$G$501,'Plan prihoda za unos u SAP'!$C$3:$C$501,"=573",'Plan prihoda za unos u SAP'!$K$3:$K$501,"=634")</f>
        <v>0</v>
      </c>
      <c r="Q14" s="187">
        <f>SUMIFS('Plan prihoda za unos u SAP'!$G$3:$G$501,'Plan prihoda za unos u SAP'!$C$3:$C$501,"=575",'Plan prihoda za unos u SAP'!$K$3:$K$501,"=634")</f>
        <v>0</v>
      </c>
      <c r="R14" s="187">
        <f>SUMIFS('Plan prihoda za unos u SAP'!$G$3:$G$501,'Plan prihoda za unos u SAP'!$C$3:$C$501,"=576",'Plan prihoda za unos u SAP'!$K$3:$K$501,"=634")</f>
        <v>0</v>
      </c>
      <c r="S14" s="187">
        <f>SUMIFS('Plan prihoda za unos u SAP'!$G$3:$G$501,'Plan prihoda za unos u SAP'!$C$3:$C$501,"=61",'Plan prihoda za unos u SAP'!$K$3:$K$501,"=634")</f>
        <v>0</v>
      </c>
      <c r="T14" s="187">
        <f>SUMIFS('Plan prihoda za unos u SAP'!$G$3:$G$501,'Plan prihoda za unos u SAP'!$C$3:$C$501,"=63",'Plan prihoda za unos u SAP'!$K$3:$K$501,"=634")</f>
        <v>0</v>
      </c>
      <c r="U14" s="187">
        <f>SUMIFS('Plan prihoda za unos u SAP'!$G$3:$G$501,'Plan prihoda za unos u SAP'!$C$3:$C$501,"=71",'Plan prihoda za unos u SAP'!$K$3:$K$501,"=634")</f>
        <v>0</v>
      </c>
      <c r="V14" s="187">
        <f>SUMIFS('Plan prihoda za unos u SAP'!$G$3:$G$501,'Plan prihoda za unos u SAP'!$C$3:$C$501,"=81",'Plan prihoda za unos u SAP'!$K$3:$K$501,"=634")</f>
        <v>0</v>
      </c>
      <c r="W14" s="187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3" t="s">
        <v>2131</v>
      </c>
      <c r="C15" s="96" t="s">
        <v>2132</v>
      </c>
      <c r="D15" s="70">
        <f>SUM(E15:W15)</f>
        <v>0</v>
      </c>
      <c r="E15" s="187">
        <f>SUMIFS('Plan prihoda za unos u SAP'!$G$3:$G$501,'Plan prihoda za unos u SAP'!$C$3:$C$501,"=11",'Plan prihoda za unos u SAP'!$K$3:$K$501,"=636")</f>
        <v>0</v>
      </c>
      <c r="F15" s="187">
        <f>SUMIFS('Plan prihoda za unos u SAP'!$G$3:$G$501,'Plan prihoda za unos u SAP'!$C$3:$C$501,"=12",'Plan prihoda za unos u SAP'!$K$3:$K$501,"=636")</f>
        <v>0</v>
      </c>
      <c r="G15" s="187">
        <f>SUMIFS('Plan prihoda za unos u SAP'!$G$3:$G$501,'Plan prihoda za unos u SAP'!$C$3:$C$501,"=31",'Plan prihoda za unos u SAP'!$K$3:$K$501,"=636")</f>
        <v>0</v>
      </c>
      <c r="H15" s="187">
        <f>SUMIFS('Plan prihoda za unos u SAP'!$G$3:$G$501,'Plan prihoda za unos u SAP'!$C$3:$C$501,"=41",'Plan prihoda za unos u SAP'!$K$3:$K$501,"=636")</f>
        <v>0</v>
      </c>
      <c r="I15" s="187">
        <f>SUMIFS('Plan prihoda za unos u SAP'!$G$3:$G$501,'Plan prihoda za unos u SAP'!$C$3:$C$501,"=43",'Plan prihoda za unos u SAP'!$K$3:$K$501,"=636")</f>
        <v>0</v>
      </c>
      <c r="J15" s="187">
        <f>SUMIFS('Plan prihoda za unos u SAP'!$G$3:$G$501,'Plan prihoda za unos u SAP'!$C$3:$C$501,"=51",'Plan prihoda za unos u SAP'!$K$3:$K$501,"=636")</f>
        <v>0</v>
      </c>
      <c r="K15" s="187">
        <f>SUMIFS('Plan prihoda za unos u SAP'!$G$3:$G$501,'Plan prihoda za unos u SAP'!$C$3:$C$501,"=52",'Plan prihoda za unos u SAP'!$K$3:$K$501,"=636")</f>
        <v>0</v>
      </c>
      <c r="L15" s="187">
        <f>SUMIFS('Plan prihoda za unos u SAP'!$G$3:$G$501,'Plan prihoda za unos u SAP'!$C$3:$C$501,"=552",'Plan prihoda za unos u SAP'!$K$3:$K$501,"=636")</f>
        <v>0</v>
      </c>
      <c r="M15" s="187">
        <f>SUMIFS('Plan prihoda za unos u SAP'!$G$3:$G$501,'Plan prihoda za unos u SAP'!$C$3:$C$501,"=559",'Plan prihoda za unos u SAP'!$K$3:$K$501,"=636")</f>
        <v>0</v>
      </c>
      <c r="N15" s="187">
        <f>SUMIFS('Plan prihoda za unos u SAP'!$G$3:$G$501,'Plan prihoda za unos u SAP'!$C$3:$C$501,"=561",'Plan prihoda za unos u SAP'!$K$3:$K$501,"=636")</f>
        <v>0</v>
      </c>
      <c r="O15" s="187">
        <f>SUMIFS('Plan prihoda za unos u SAP'!$G$3:$G$501,'Plan prihoda za unos u SAP'!$C$3:$C$501,"=563",'Plan prihoda za unos u SAP'!$K$3:$K$501,"=636")</f>
        <v>0</v>
      </c>
      <c r="P15" s="187">
        <f>SUMIFS('Plan prihoda za unos u SAP'!$G$3:$G$501,'Plan prihoda za unos u SAP'!$C$3:$C$501,"=573",'Plan prihoda za unos u SAP'!$K$3:$K$501,"=636")</f>
        <v>0</v>
      </c>
      <c r="Q15" s="187">
        <f>SUMIFS('Plan prihoda za unos u SAP'!$G$3:$G$501,'Plan prihoda za unos u SAP'!$C$3:$C$501,"=575",'Plan prihoda za unos u SAP'!$K$3:$K$501,"=636")</f>
        <v>0</v>
      </c>
      <c r="R15" s="187">
        <f>SUMIFS('Plan prihoda za unos u SAP'!$G$3:$G$501,'Plan prihoda za unos u SAP'!$C$3:$C$501,"=576",'Plan prihoda za unos u SAP'!$K$3:$K$501,"=636")</f>
        <v>0</v>
      </c>
      <c r="S15" s="187">
        <f>SUMIFS('Plan prihoda za unos u SAP'!$G$3:$G$501,'Plan prihoda za unos u SAP'!$C$3:$C$501,"=61",'Plan prihoda za unos u SAP'!$K$3:$K$501,"=636")</f>
        <v>0</v>
      </c>
      <c r="T15" s="187">
        <f>SUMIFS('Plan prihoda za unos u SAP'!$G$3:$G$501,'Plan prihoda za unos u SAP'!$C$3:$C$501,"=63",'Plan prihoda za unos u SAP'!$K$3:$K$501,"=636")</f>
        <v>0</v>
      </c>
      <c r="U15" s="187">
        <f>SUMIFS('Plan prihoda za unos u SAP'!$G$3:$G$501,'Plan prihoda za unos u SAP'!$C$3:$C$501,"=71",'Plan prihoda za unos u SAP'!$K$3:$K$501,"=636")</f>
        <v>0</v>
      </c>
      <c r="V15" s="187">
        <f>SUMIFS('Plan prihoda za unos u SAP'!$G$3:$G$501,'Plan prihoda za unos u SAP'!$C$3:$C$501,"=81",'Plan prihoda za unos u SAP'!$K$3:$K$501,"=636")</f>
        <v>0</v>
      </c>
      <c r="W15" s="187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2133</v>
      </c>
      <c r="C16" s="96" t="s">
        <v>2134</v>
      </c>
      <c r="D16" s="70">
        <f t="shared" si="1"/>
        <v>0</v>
      </c>
      <c r="E16" s="187">
        <f>SUMIFS('Plan prihoda za unos u SAP'!$G$3:$G$501,'Plan prihoda za unos u SAP'!$C$3:$C$501,"=11",'Plan prihoda za unos u SAP'!$K$3:$K$501,"=638")</f>
        <v>0</v>
      </c>
      <c r="F16" s="187">
        <f>SUMIFS('Plan prihoda za unos u SAP'!$G$3:$G$501,'Plan prihoda za unos u SAP'!$C$3:$C$501,"=12",'Plan prihoda za unos u SAP'!$K$3:$K$501,"=638")</f>
        <v>0</v>
      </c>
      <c r="G16" s="187">
        <f>SUMIFS('Plan prihoda za unos u SAP'!$G$3:$G$501,'Plan prihoda za unos u SAP'!$C$3:$C$501,"=31",'Plan prihoda za unos u SAP'!$K$3:$K$501,"=638")</f>
        <v>0</v>
      </c>
      <c r="H16" s="187">
        <f>SUMIFS('Plan prihoda za unos u SAP'!$G$3:$G$501,'Plan prihoda za unos u SAP'!$C$3:$C$501,"=41",'Plan prihoda za unos u SAP'!$K$3:$K$501,"=638")</f>
        <v>0</v>
      </c>
      <c r="I16" s="187">
        <f>SUMIFS('Plan prihoda za unos u SAP'!$G$3:$G$501,'Plan prihoda za unos u SAP'!$C$3:$C$501,"=43",'Plan prihoda za unos u SAP'!$K$3:$K$501,"=638")</f>
        <v>0</v>
      </c>
      <c r="J16" s="187">
        <f>SUMIFS('Plan prihoda za unos u SAP'!$G$3:$G$501,'Plan prihoda za unos u SAP'!$C$3:$C$501,"=51",'Plan prihoda za unos u SAP'!$K$3:$K$501,"=638")</f>
        <v>0</v>
      </c>
      <c r="K16" s="187">
        <f>SUMIFS('Plan prihoda za unos u SAP'!$G$3:$G$501,'Plan prihoda za unos u SAP'!$C$3:$C$501,"=52",'Plan prihoda za unos u SAP'!$K$3:$K$501,"=638")</f>
        <v>0</v>
      </c>
      <c r="L16" s="187">
        <f>SUMIFS('Plan prihoda za unos u SAP'!$G$3:$G$501,'Plan prihoda za unos u SAP'!$C$3:$C$501,"=552",'Plan prihoda za unos u SAP'!$K$3:$K$501,"=638")</f>
        <v>0</v>
      </c>
      <c r="M16" s="187">
        <f>SUMIFS('Plan prihoda za unos u SAP'!$G$3:$G$501,'Plan prihoda za unos u SAP'!$C$3:$C$501,"=559",'Plan prihoda za unos u SAP'!$K$3:$K$501,"=638")</f>
        <v>0</v>
      </c>
      <c r="N16" s="187">
        <f>SUMIFS('Plan prihoda za unos u SAP'!$G$3:$G$501,'Plan prihoda za unos u SAP'!$C$3:$C$501,"=561",'Plan prihoda za unos u SAP'!$K$3:$K$501,"=638")</f>
        <v>0</v>
      </c>
      <c r="O16" s="187">
        <f>SUMIFS('Plan prihoda za unos u SAP'!$G$3:$G$501,'Plan prihoda za unos u SAP'!$C$3:$C$501,"=563",'Plan prihoda za unos u SAP'!$K$3:$K$501,"=638")</f>
        <v>0</v>
      </c>
      <c r="P16" s="187">
        <f>SUMIFS('Plan prihoda za unos u SAP'!$G$3:$G$501,'Plan prihoda za unos u SAP'!$C$3:$C$501,"=573",'Plan prihoda za unos u SAP'!$K$3:$K$501,"=638")</f>
        <v>0</v>
      </c>
      <c r="Q16" s="187">
        <f>SUMIFS('Plan prihoda za unos u SAP'!$G$3:$G$501,'Plan prihoda za unos u SAP'!$C$3:$C$501,"=575",'Plan prihoda za unos u SAP'!$K$3:$K$501,"=638")</f>
        <v>0</v>
      </c>
      <c r="R16" s="187">
        <f>SUMIFS('Plan prihoda za unos u SAP'!$G$3:$G$501,'Plan prihoda za unos u SAP'!$C$3:$C$501,"=576",'Plan prihoda za unos u SAP'!$K$3:$K$501,"=638")</f>
        <v>0</v>
      </c>
      <c r="S16" s="187">
        <f>SUMIFS('Plan prihoda za unos u SAP'!$G$3:$G$501,'Plan prihoda za unos u SAP'!$C$3:$C$501,"=61",'Plan prihoda za unos u SAP'!$K$3:$K$501,"=638")</f>
        <v>0</v>
      </c>
      <c r="T16" s="187">
        <f>SUMIFS('Plan prihoda za unos u SAP'!$G$3:$G$501,'Plan prihoda za unos u SAP'!$C$3:$C$501,"=63",'Plan prihoda za unos u SAP'!$K$3:$K$501,"=638")</f>
        <v>0</v>
      </c>
      <c r="U16" s="187">
        <f>SUMIFS('Plan prihoda za unos u SAP'!$G$3:$G$501,'Plan prihoda za unos u SAP'!$C$3:$C$501,"=71",'Plan prihoda za unos u SAP'!$K$3:$K$501,"=638")</f>
        <v>0</v>
      </c>
      <c r="V16" s="187">
        <f>SUMIFS('Plan prihoda za unos u SAP'!$G$3:$G$501,'Plan prihoda za unos u SAP'!$C$3:$C$501,"=81",'Plan prihoda za unos u SAP'!$K$3:$K$501,"=638")</f>
        <v>0</v>
      </c>
      <c r="W16" s="187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2135</v>
      </c>
      <c r="C17" s="96" t="s">
        <v>2136</v>
      </c>
      <c r="D17" s="70">
        <f t="shared" si="1"/>
        <v>275604</v>
      </c>
      <c r="E17" s="187">
        <f>SUMIFS('Plan prihoda za unos u SAP'!$G$3:$G$501,'Plan prihoda za unos u SAP'!$C$3:$C$501,"=11",'Plan prihoda za unos u SAP'!$K$3:$K$501,"=639")</f>
        <v>0</v>
      </c>
      <c r="F17" s="187">
        <f>SUMIFS('Plan prihoda za unos u SAP'!$G$3:$G$501,'Plan prihoda za unos u SAP'!$C$3:$C$501,"=12",'Plan prihoda za unos u SAP'!$K$3:$K$501,"=639")</f>
        <v>0</v>
      </c>
      <c r="G17" s="187">
        <f>SUMIFS('Plan prihoda za unos u SAP'!$G$3:$G$501,'Plan prihoda za unos u SAP'!$C$3:$C$501,"=31",'Plan prihoda za unos u SAP'!$K$3:$K$501,"=639")</f>
        <v>0</v>
      </c>
      <c r="H17" s="187">
        <f>SUMIFS('Plan prihoda za unos u SAP'!$G$3:$G$501,'Plan prihoda za unos u SAP'!$C$3:$C$501,"=41",'Plan prihoda za unos u SAP'!$K$3:$K$501,"=639")</f>
        <v>0</v>
      </c>
      <c r="I17" s="187">
        <f>SUMIFS('Plan prihoda za unos u SAP'!$G$3:$G$501,'Plan prihoda za unos u SAP'!$C$3:$C$501,"=43",'Plan prihoda za unos u SAP'!$K$3:$K$501,"=639")</f>
        <v>0</v>
      </c>
      <c r="J17" s="187">
        <f>SUMIFS('Plan prihoda za unos u SAP'!$G$3:$G$501,'Plan prihoda za unos u SAP'!$C$3:$C$501,"=51",'Plan prihoda za unos u SAP'!$K$3:$K$501,"=639")</f>
        <v>0</v>
      </c>
      <c r="K17" s="187">
        <f>SUMIFS('Plan prihoda za unos u SAP'!$G$3:$G$501,'Plan prihoda za unos u SAP'!$C$3:$C$501,"=52",'Plan prihoda za unos u SAP'!$K$3:$K$501,"=639")</f>
        <v>275604</v>
      </c>
      <c r="L17" s="187">
        <f>SUMIFS('Plan prihoda za unos u SAP'!$G$3:$G$501,'Plan prihoda za unos u SAP'!$C$3:$C$501,"=552",'Plan prihoda za unos u SAP'!$K$3:$K$501,"=639")</f>
        <v>0</v>
      </c>
      <c r="M17" s="187">
        <f>SUMIFS('Plan prihoda za unos u SAP'!$G$3:$G$501,'Plan prihoda za unos u SAP'!$C$3:$C$501,"=559",'Plan prihoda za unos u SAP'!$K$3:$K$501,"=639")</f>
        <v>0</v>
      </c>
      <c r="N17" s="187">
        <f>SUMIFS('Plan prihoda za unos u SAP'!$G$3:$G$501,'Plan prihoda za unos u SAP'!$C$3:$C$501,"=561",'Plan prihoda za unos u SAP'!$K$3:$K$501,"=639")</f>
        <v>0</v>
      </c>
      <c r="O17" s="187">
        <f>SUMIFS('Plan prihoda za unos u SAP'!$G$3:$G$501,'Plan prihoda za unos u SAP'!$C$3:$C$501,"=563",'Plan prihoda za unos u SAP'!$K$3:$K$501,"=639")</f>
        <v>0</v>
      </c>
      <c r="P17" s="187">
        <f>SUMIFS('Plan prihoda za unos u SAP'!$G$3:$G$501,'Plan prihoda za unos u SAP'!$C$3:$C$501,"=573",'Plan prihoda za unos u SAP'!$K$3:$K$501,"=639")</f>
        <v>0</v>
      </c>
      <c r="Q17" s="187">
        <f>SUMIFS('Plan prihoda za unos u SAP'!$G$3:$G$501,'Plan prihoda za unos u SAP'!$C$3:$C$501,"=575",'Plan prihoda za unos u SAP'!$K$3:$K$501,"=639")</f>
        <v>0</v>
      </c>
      <c r="R17" s="187">
        <f>SUMIFS('Plan prihoda za unos u SAP'!$G$3:$G$501,'Plan prihoda za unos u SAP'!$C$3:$C$501,"=576",'Plan prihoda za unos u SAP'!$K$3:$K$501,"=639")</f>
        <v>0</v>
      </c>
      <c r="S17" s="187">
        <f>SUMIFS('Plan prihoda za unos u SAP'!$G$3:$G$501,'Plan prihoda za unos u SAP'!$C$3:$C$501,"=61",'Plan prihoda za unos u SAP'!$K$3:$K$501,"=639")</f>
        <v>0</v>
      </c>
      <c r="T17" s="187">
        <f>SUMIFS('Plan prihoda za unos u SAP'!$G$3:$G$501,'Plan prihoda za unos u SAP'!$C$3:$C$501,"=63",'Plan prihoda za unos u SAP'!$K$3:$K$501,"=639")</f>
        <v>0</v>
      </c>
      <c r="U17" s="187">
        <f>SUMIFS('Plan prihoda za unos u SAP'!$G$3:$G$501,'Plan prihoda za unos u SAP'!$C$3:$C$501,"=71",'Plan prihoda za unos u SAP'!$K$3:$K$501,"=639")</f>
        <v>0</v>
      </c>
      <c r="V17" s="187">
        <f>SUMIFS('Plan prihoda za unos u SAP'!$G$3:$G$501,'Plan prihoda za unos u SAP'!$C$3:$C$501,"=81",'Plan prihoda za unos u SAP'!$K$3:$K$501,"=639")</f>
        <v>0</v>
      </c>
      <c r="W17" s="187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2137</v>
      </c>
      <c r="C18" s="96" t="s">
        <v>2138</v>
      </c>
      <c r="D18" s="70">
        <f t="shared" si="1"/>
        <v>0</v>
      </c>
      <c r="E18" s="187">
        <f>SUMIFS('Plan prihoda za unos u SAP'!$G$3:$G$501,'Plan prihoda za unos u SAP'!$C$3:$C$501,"=11",'Plan prihoda za unos u SAP'!$K$3:$K$501,"=641")</f>
        <v>0</v>
      </c>
      <c r="F18" s="187">
        <f>SUMIFS('Plan prihoda za unos u SAP'!$G$3:$G$501,'Plan prihoda za unos u SAP'!$C$3:$C$501,"=12",'Plan prihoda za unos u SAP'!$K$3:$K$501,"=641")</f>
        <v>0</v>
      </c>
      <c r="G18" s="187">
        <f>SUMIFS('Plan prihoda za unos u SAP'!$G$3:$G$501,'Plan prihoda za unos u SAP'!$C$3:$C$501,"=31",'Plan prihoda za unos u SAP'!$K$3:$K$501,"=641")</f>
        <v>0</v>
      </c>
      <c r="H18" s="187">
        <f>SUMIFS('Plan prihoda za unos u SAP'!$G$3:$G$501,'Plan prihoda za unos u SAP'!$C$3:$C$501,"=41",'Plan prihoda za unos u SAP'!$K$3:$K$501,"=641")</f>
        <v>0</v>
      </c>
      <c r="I18" s="187">
        <f>SUMIFS('Plan prihoda za unos u SAP'!$G$3:$G$501,'Plan prihoda za unos u SAP'!$C$3:$C$501,"=43",'Plan prihoda za unos u SAP'!$K$3:$K$501,"=641")</f>
        <v>0</v>
      </c>
      <c r="J18" s="187">
        <f>SUMIFS('Plan prihoda za unos u SAP'!$G$3:$G$501,'Plan prihoda za unos u SAP'!$C$3:$C$501,"=51",'Plan prihoda za unos u SAP'!$K$3:$K$501,"=641")</f>
        <v>0</v>
      </c>
      <c r="K18" s="187">
        <f>SUMIFS('Plan prihoda za unos u SAP'!$G$3:$G$501,'Plan prihoda za unos u SAP'!$C$3:$C$501,"=52",'Plan prihoda za unos u SAP'!$K$3:$K$501,"=641")</f>
        <v>0</v>
      </c>
      <c r="L18" s="187">
        <f>SUMIFS('Plan prihoda za unos u SAP'!$G$3:$G$501,'Plan prihoda za unos u SAP'!$C$3:$C$501,"=552",'Plan prihoda za unos u SAP'!$K$3:$K$501,"=641")</f>
        <v>0</v>
      </c>
      <c r="M18" s="187">
        <f>SUMIFS('Plan prihoda za unos u SAP'!$G$3:$G$501,'Plan prihoda za unos u SAP'!$C$3:$C$501,"=559",'Plan prihoda za unos u SAP'!$K$3:$K$501,"=641")</f>
        <v>0</v>
      </c>
      <c r="N18" s="187">
        <f>SUMIFS('Plan prihoda za unos u SAP'!$G$3:$G$501,'Plan prihoda za unos u SAP'!$C$3:$C$501,"=561",'Plan prihoda za unos u SAP'!$K$3:$K$501,"=641")</f>
        <v>0</v>
      </c>
      <c r="O18" s="187">
        <f>SUMIFS('Plan prihoda za unos u SAP'!$G$3:$G$501,'Plan prihoda za unos u SAP'!$C$3:$C$501,"=563",'Plan prihoda za unos u SAP'!$K$3:$K$501,"=641")</f>
        <v>0</v>
      </c>
      <c r="P18" s="187">
        <f>SUMIFS('Plan prihoda za unos u SAP'!$G$3:$G$501,'Plan prihoda za unos u SAP'!$C$3:$C$501,"=573",'Plan prihoda za unos u SAP'!$K$3:$K$501,"=641")</f>
        <v>0</v>
      </c>
      <c r="Q18" s="187">
        <f>SUMIFS('Plan prihoda za unos u SAP'!$G$3:$G$501,'Plan prihoda za unos u SAP'!$C$3:$C$501,"=575",'Plan prihoda za unos u SAP'!$K$3:$K$501,"=641")</f>
        <v>0</v>
      </c>
      <c r="R18" s="187">
        <f>SUMIFS('Plan prihoda za unos u SAP'!$G$3:$G$501,'Plan prihoda za unos u SAP'!$C$3:$C$501,"=576",'Plan prihoda za unos u SAP'!$K$3:$K$501,"=641")</f>
        <v>0</v>
      </c>
      <c r="S18" s="187">
        <f>SUMIFS('Plan prihoda za unos u SAP'!$G$3:$G$501,'Plan prihoda za unos u SAP'!$C$3:$C$501,"=61",'Plan prihoda za unos u SAP'!$K$3:$K$501,"=641")</f>
        <v>0</v>
      </c>
      <c r="T18" s="187">
        <f>SUMIFS('Plan prihoda za unos u SAP'!$G$3:$G$501,'Plan prihoda za unos u SAP'!$C$3:$C$501,"=63",'Plan prihoda za unos u SAP'!$K$3:$K$501,"=641")</f>
        <v>0</v>
      </c>
      <c r="U18" s="187">
        <f>SUMIFS('Plan prihoda za unos u SAP'!$G$3:$G$501,'Plan prihoda za unos u SAP'!$C$3:$C$501,"=71",'Plan prihoda za unos u SAP'!$K$3:$K$501,"=641")</f>
        <v>0</v>
      </c>
      <c r="V18" s="187">
        <f>SUMIFS('Plan prihoda za unos u SAP'!$G$3:$G$501,'Plan prihoda za unos u SAP'!$C$3:$C$501,"=81",'Plan prihoda za unos u SAP'!$K$3:$K$501,"=641")</f>
        <v>0</v>
      </c>
      <c r="W18" s="187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2139</v>
      </c>
      <c r="C19" s="96" t="s">
        <v>2140</v>
      </c>
      <c r="D19" s="70">
        <f t="shared" si="1"/>
        <v>0</v>
      </c>
      <c r="E19" s="187">
        <f>SUMIFS('Plan prihoda za unos u SAP'!$G$3:$G$501,'Plan prihoda za unos u SAP'!$C$3:$C$501,"=11",'Plan prihoda za unos u SAP'!$K$3:$K$501,"=642")</f>
        <v>0</v>
      </c>
      <c r="F19" s="187">
        <f>SUMIFS('Plan prihoda za unos u SAP'!$G$3:$G$501,'Plan prihoda za unos u SAP'!$C$3:$C$501,"=12",'Plan prihoda za unos u SAP'!$K$3:$K$501,"=642")</f>
        <v>0</v>
      </c>
      <c r="G19" s="187">
        <f>SUMIFS('Plan prihoda za unos u SAP'!$G$3:$G$501,'Plan prihoda za unos u SAP'!$C$3:$C$501,"=31",'Plan prihoda za unos u SAP'!$K$3:$K$501,"=642")</f>
        <v>0</v>
      </c>
      <c r="H19" s="187">
        <f>SUMIFS('Plan prihoda za unos u SAP'!$G$3:$G$501,'Plan prihoda za unos u SAP'!$C$3:$C$501,"=41",'Plan prihoda za unos u SAP'!$K$3:$K$501,"=642")</f>
        <v>0</v>
      </c>
      <c r="I19" s="187">
        <f>SUMIFS('Plan prihoda za unos u SAP'!$G$3:$G$501,'Plan prihoda za unos u SAP'!$C$3:$C$501,"=43",'Plan prihoda za unos u SAP'!$K$3:$K$501,"=642")</f>
        <v>0</v>
      </c>
      <c r="J19" s="187">
        <f>SUMIFS('Plan prihoda za unos u SAP'!$G$3:$G$501,'Plan prihoda za unos u SAP'!$C$3:$C$501,"=51",'Plan prihoda za unos u SAP'!$K$3:$K$501,"=642")</f>
        <v>0</v>
      </c>
      <c r="K19" s="187">
        <f>SUMIFS('Plan prihoda za unos u SAP'!$G$3:$G$501,'Plan prihoda za unos u SAP'!$C$3:$C$501,"=52",'Plan prihoda za unos u SAP'!$K$3:$K$501,"=642")</f>
        <v>0</v>
      </c>
      <c r="L19" s="187">
        <f>SUMIFS('Plan prihoda za unos u SAP'!$G$3:$G$501,'Plan prihoda za unos u SAP'!$C$3:$C$501,"=552",'Plan prihoda za unos u SAP'!$K$3:$K$501,"=642")</f>
        <v>0</v>
      </c>
      <c r="M19" s="187">
        <f>SUMIFS('Plan prihoda za unos u SAP'!$G$3:$G$501,'Plan prihoda za unos u SAP'!$C$3:$C$501,"=559",'Plan prihoda za unos u SAP'!$K$3:$K$501,"=642")</f>
        <v>0</v>
      </c>
      <c r="N19" s="187">
        <f>SUMIFS('Plan prihoda za unos u SAP'!$G$3:$G$501,'Plan prihoda za unos u SAP'!$C$3:$C$501,"=561",'Plan prihoda za unos u SAP'!$K$3:$K$501,"=642")</f>
        <v>0</v>
      </c>
      <c r="O19" s="187">
        <f>SUMIFS('Plan prihoda za unos u SAP'!$G$3:$G$501,'Plan prihoda za unos u SAP'!$C$3:$C$501,"=563",'Plan prihoda za unos u SAP'!$K$3:$K$501,"=642")</f>
        <v>0</v>
      </c>
      <c r="P19" s="187">
        <f>SUMIFS('Plan prihoda za unos u SAP'!$G$3:$G$501,'Plan prihoda za unos u SAP'!$C$3:$C$501,"=573",'Plan prihoda za unos u SAP'!$K$3:$K$501,"=642")</f>
        <v>0</v>
      </c>
      <c r="Q19" s="187">
        <f>SUMIFS('Plan prihoda za unos u SAP'!$G$3:$G$501,'Plan prihoda za unos u SAP'!$C$3:$C$501,"=575",'Plan prihoda za unos u SAP'!$K$3:$K$501,"=642")</f>
        <v>0</v>
      </c>
      <c r="R19" s="187">
        <f>SUMIFS('Plan prihoda za unos u SAP'!$G$3:$G$501,'Plan prihoda za unos u SAP'!$C$3:$C$501,"=576",'Plan prihoda za unos u SAP'!$K$3:$K$501,"=642")</f>
        <v>0</v>
      </c>
      <c r="S19" s="187">
        <f>SUMIFS('Plan prihoda za unos u SAP'!$G$3:$G$501,'Plan prihoda za unos u SAP'!$C$3:$C$501,"=61",'Plan prihoda za unos u SAP'!$K$3:$K$501,"=642")</f>
        <v>0</v>
      </c>
      <c r="T19" s="187">
        <f>SUMIFS('Plan prihoda za unos u SAP'!$G$3:$G$501,'Plan prihoda za unos u SAP'!$C$3:$C$501,"=63",'Plan prihoda za unos u SAP'!$K$3:$K$501,"=642")</f>
        <v>0</v>
      </c>
      <c r="U19" s="187">
        <f>SUMIFS('Plan prihoda za unos u SAP'!$G$3:$G$501,'Plan prihoda za unos u SAP'!$C$3:$C$501,"=71",'Plan prihoda za unos u SAP'!$K$3:$K$501,"=642")</f>
        <v>0</v>
      </c>
      <c r="V19" s="187">
        <f>SUMIFS('Plan prihoda za unos u SAP'!$G$3:$G$501,'Plan prihoda za unos u SAP'!$C$3:$C$501,"=81",'Plan prihoda za unos u SAP'!$K$3:$K$501,"=642")</f>
        <v>0</v>
      </c>
      <c r="W19" s="187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3" t="s">
        <v>2141</v>
      </c>
      <c r="C20" s="96" t="s">
        <v>2142</v>
      </c>
      <c r="D20" s="70">
        <f t="shared" si="1"/>
        <v>0</v>
      </c>
      <c r="E20" s="187">
        <f>SUMIFS('Plan prihoda za unos u SAP'!$G$3:$G$501,'Plan prihoda za unos u SAP'!$C$3:$C$501,"=11",'Plan prihoda za unos u SAP'!$K$3:$K$501,"=651")</f>
        <v>0</v>
      </c>
      <c r="F20" s="187">
        <f>SUMIFS('Plan prihoda za unos u SAP'!$G$3:$G$501,'Plan prihoda za unos u SAP'!$C$3:$C$501,"=12",'Plan prihoda za unos u SAP'!$K$3:$K$501,"=651")</f>
        <v>0</v>
      </c>
      <c r="G20" s="187">
        <f>SUMIFS('Plan prihoda za unos u SAP'!$G$3:$G$501,'Plan prihoda za unos u SAP'!$C$3:$C$501,"=31",'Plan prihoda za unos u SAP'!$K$3:$K$501,"=651")</f>
        <v>0</v>
      </c>
      <c r="H20" s="187">
        <f>SUMIFS('Plan prihoda za unos u SAP'!$G$3:$G$501,'Plan prihoda za unos u SAP'!$C$3:$C$501,"=41",'Plan prihoda za unos u SAP'!$K$3:$K$501,"=651")</f>
        <v>0</v>
      </c>
      <c r="I20" s="187">
        <f>SUMIFS('Plan prihoda za unos u SAP'!$G$3:$G$501,'Plan prihoda za unos u SAP'!$C$3:$C$501,"=43",'Plan prihoda za unos u SAP'!$K$3:$K$501,"=651")</f>
        <v>0</v>
      </c>
      <c r="J20" s="187">
        <f>SUMIFS('Plan prihoda za unos u SAP'!$G$3:$G$501,'Plan prihoda za unos u SAP'!$C$3:$C$501,"=51",'Plan prihoda za unos u SAP'!$K$3:$K$501,"=651")</f>
        <v>0</v>
      </c>
      <c r="K20" s="187">
        <f>SUMIFS('Plan prihoda za unos u SAP'!$G$3:$G$501,'Plan prihoda za unos u SAP'!$C$3:$C$501,"=52",'Plan prihoda za unos u SAP'!$K$3:$K$501,"=651")</f>
        <v>0</v>
      </c>
      <c r="L20" s="187">
        <f>SUMIFS('Plan prihoda za unos u SAP'!$G$3:$G$501,'Plan prihoda za unos u SAP'!$C$3:$C$501,"=552",'Plan prihoda za unos u SAP'!$K$3:$K$501,"=651")</f>
        <v>0</v>
      </c>
      <c r="M20" s="187">
        <f>SUMIFS('Plan prihoda za unos u SAP'!$G$3:$G$501,'Plan prihoda za unos u SAP'!$C$3:$C$501,"=559",'Plan prihoda za unos u SAP'!$K$3:$K$501,"=651")</f>
        <v>0</v>
      </c>
      <c r="N20" s="187">
        <f>SUMIFS('Plan prihoda za unos u SAP'!$G$3:$G$501,'Plan prihoda za unos u SAP'!$C$3:$C$501,"=561",'Plan prihoda za unos u SAP'!$K$3:$K$501,"=651")</f>
        <v>0</v>
      </c>
      <c r="O20" s="187">
        <f>SUMIFS('Plan prihoda za unos u SAP'!$G$3:$G$501,'Plan prihoda za unos u SAP'!$C$3:$C$501,"=563",'Plan prihoda za unos u SAP'!$K$3:$K$501,"=651")</f>
        <v>0</v>
      </c>
      <c r="P20" s="187">
        <f>SUMIFS('Plan prihoda za unos u SAP'!$G$3:$G$501,'Plan prihoda za unos u SAP'!$C$3:$C$501,"=573",'Plan prihoda za unos u SAP'!$K$3:$K$501,"=651")</f>
        <v>0</v>
      </c>
      <c r="Q20" s="187">
        <f>SUMIFS('Plan prihoda za unos u SAP'!$G$3:$G$501,'Plan prihoda za unos u SAP'!$C$3:$C$501,"=575",'Plan prihoda za unos u SAP'!$K$3:$K$501,"=651")</f>
        <v>0</v>
      </c>
      <c r="R20" s="187">
        <f>SUMIFS('Plan prihoda za unos u SAP'!$G$3:$G$501,'Plan prihoda za unos u SAP'!$C$3:$C$501,"=576",'Plan prihoda za unos u SAP'!$K$3:$K$501,"=651")</f>
        <v>0</v>
      </c>
      <c r="S20" s="187">
        <f>SUMIFS('Plan prihoda za unos u SAP'!$G$3:$G$501,'Plan prihoda za unos u SAP'!$C$3:$C$501,"=61",'Plan prihoda za unos u SAP'!$K$3:$K$501,"=651")</f>
        <v>0</v>
      </c>
      <c r="T20" s="187">
        <f>SUMIFS('Plan prihoda za unos u SAP'!$G$3:$G$501,'Plan prihoda za unos u SAP'!$C$3:$C$501,"=63",'Plan prihoda za unos u SAP'!$K$3:$K$501,"=651")</f>
        <v>0</v>
      </c>
      <c r="U20" s="187">
        <f>SUMIFS('Plan prihoda za unos u SAP'!$G$3:$G$501,'Plan prihoda za unos u SAP'!$C$3:$C$501,"=71",'Plan prihoda za unos u SAP'!$K$3:$K$501,"=651")</f>
        <v>0</v>
      </c>
      <c r="V20" s="187">
        <f>SUMIFS('Plan prihoda za unos u SAP'!$G$3:$G$501,'Plan prihoda za unos u SAP'!$C$3:$C$501,"=81",'Plan prihoda za unos u SAP'!$K$3:$K$501,"=651")</f>
        <v>0</v>
      </c>
      <c r="W20" s="187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2143</v>
      </c>
      <c r="C21" s="96" t="s">
        <v>2144</v>
      </c>
      <c r="D21" s="70">
        <f t="shared" si="1"/>
        <v>3405320</v>
      </c>
      <c r="E21" s="187">
        <f>SUMIFS('Plan prihoda za unos u SAP'!$G$3:$G$501,'Plan prihoda za unos u SAP'!$C$3:$C$501,"=11",'Plan prihoda za unos u SAP'!$K$3:$K$501,"=652")</f>
        <v>0</v>
      </c>
      <c r="F21" s="187">
        <f>SUMIFS('Plan prihoda za unos u SAP'!$G$3:$G$501,'Plan prihoda za unos u SAP'!$C$3:$C$501,"=12",'Plan prihoda za unos u SAP'!$K$3:$K$501,"=652")</f>
        <v>0</v>
      </c>
      <c r="G21" s="187">
        <f>SUMIFS('Plan prihoda za unos u SAP'!$G$3:$G$501,'Plan prihoda za unos u SAP'!$C$3:$C$501,"=31",'Plan prihoda za unos u SAP'!$K$3:$K$501,"=652")</f>
        <v>0</v>
      </c>
      <c r="H21" s="187">
        <f>SUMIFS('Plan prihoda za unos u SAP'!$G$3:$G$501,'Plan prihoda za unos u SAP'!$C$3:$C$501,"=41",'Plan prihoda za unos u SAP'!$K$3:$K$501,"=652")</f>
        <v>0</v>
      </c>
      <c r="I21" s="187">
        <f>SUMIFS('Plan prihoda za unos u SAP'!$G$3:$G$501,'Plan prihoda za unos u SAP'!$C$3:$C$501,"=43",'Plan prihoda za unos u SAP'!$K$3:$K$501,"=652")</f>
        <v>3405320</v>
      </c>
      <c r="J21" s="187">
        <f>SUMIFS('Plan prihoda za unos u SAP'!$G$3:$G$501,'Plan prihoda za unos u SAP'!$C$3:$C$501,"=51",'Plan prihoda za unos u SAP'!$K$3:$K$501,"=652")</f>
        <v>0</v>
      </c>
      <c r="K21" s="187">
        <f>SUMIFS('Plan prihoda za unos u SAP'!$G$3:$G$501,'Plan prihoda za unos u SAP'!$C$3:$C$501,"=52",'Plan prihoda za unos u SAP'!$K$3:$K$501,"=652")</f>
        <v>0</v>
      </c>
      <c r="L21" s="187">
        <f>SUMIFS('Plan prihoda za unos u SAP'!$G$3:$G$501,'Plan prihoda za unos u SAP'!$C$3:$C$501,"=552",'Plan prihoda za unos u SAP'!$K$3:$K$501,"=652")</f>
        <v>0</v>
      </c>
      <c r="M21" s="187">
        <f>SUMIFS('Plan prihoda za unos u SAP'!$G$3:$G$501,'Plan prihoda za unos u SAP'!$C$3:$C$501,"=559",'Plan prihoda za unos u SAP'!$K$3:$K$501,"=652")</f>
        <v>0</v>
      </c>
      <c r="N21" s="187">
        <f>SUMIFS('Plan prihoda za unos u SAP'!$G$3:$G$501,'Plan prihoda za unos u SAP'!$C$3:$C$501,"=561",'Plan prihoda za unos u SAP'!$K$3:$K$501,"=652")</f>
        <v>0</v>
      </c>
      <c r="O21" s="187">
        <f>SUMIFS('Plan prihoda za unos u SAP'!$G$3:$G$501,'Plan prihoda za unos u SAP'!$C$3:$C$501,"=563",'Plan prihoda za unos u SAP'!$K$3:$K$501,"=652")</f>
        <v>0</v>
      </c>
      <c r="P21" s="187">
        <f>SUMIFS('Plan prihoda za unos u SAP'!$G$3:$G$501,'Plan prihoda za unos u SAP'!$C$3:$C$501,"=573",'Plan prihoda za unos u SAP'!$K$3:$K$501,"=652")</f>
        <v>0</v>
      </c>
      <c r="Q21" s="187">
        <f>SUMIFS('Plan prihoda za unos u SAP'!$G$3:$G$501,'Plan prihoda za unos u SAP'!$C$3:$C$501,"=575",'Plan prihoda za unos u SAP'!$K$3:$K$501,"=652")</f>
        <v>0</v>
      </c>
      <c r="R21" s="187">
        <f>SUMIFS('Plan prihoda za unos u SAP'!$G$3:$G$501,'Plan prihoda za unos u SAP'!$C$3:$C$501,"=576",'Plan prihoda za unos u SAP'!$K$3:$K$501,"=652")</f>
        <v>0</v>
      </c>
      <c r="S21" s="187">
        <f>SUMIFS('Plan prihoda za unos u SAP'!$G$3:$G$501,'Plan prihoda za unos u SAP'!$C$3:$C$501,"=61",'Plan prihoda za unos u SAP'!$K$3:$K$501,"=652")</f>
        <v>0</v>
      </c>
      <c r="T21" s="187">
        <f>SUMIFS('Plan prihoda za unos u SAP'!$G$3:$G$501,'Plan prihoda za unos u SAP'!$C$3:$C$501,"=63",'Plan prihoda za unos u SAP'!$K$3:$K$501,"=652")</f>
        <v>0</v>
      </c>
      <c r="U21" s="187">
        <f>SUMIFS('Plan prihoda za unos u SAP'!$G$3:$G$501,'Plan prihoda za unos u SAP'!$C$3:$C$501,"=71",'Plan prihoda za unos u SAP'!$K$3:$K$501,"=652")</f>
        <v>0</v>
      </c>
      <c r="V21" s="187">
        <f>SUMIFS('Plan prihoda za unos u SAP'!$G$3:$G$501,'Plan prihoda za unos u SAP'!$C$3:$C$501,"=81",'Plan prihoda za unos u SAP'!$K$3:$K$501,"=652")</f>
        <v>0</v>
      </c>
      <c r="W21" s="187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2145</v>
      </c>
      <c r="C22" s="96" t="s">
        <v>2146</v>
      </c>
      <c r="D22" s="70">
        <f t="shared" si="1"/>
        <v>1910000</v>
      </c>
      <c r="E22" s="187">
        <f>SUMIFS('Plan prihoda za unos u SAP'!$G$3:$G$501,'Plan prihoda za unos u SAP'!$C$3:$C$501,"=11",'Plan prihoda za unos u SAP'!$K$3:$K$501,"=661")</f>
        <v>0</v>
      </c>
      <c r="F22" s="187">
        <f>SUMIFS('Plan prihoda za unos u SAP'!$G$3:$G$501,'Plan prihoda za unos u SAP'!$C$3:$C$501,"=12",'Plan prihoda za unos u SAP'!$K$3:$K$501,"=661")</f>
        <v>0</v>
      </c>
      <c r="G22" s="187">
        <f>SUMIFS('Plan prihoda za unos u SAP'!$G$3:$G$501,'Plan prihoda za unos u SAP'!$C$3:$C$501,"=31",'Plan prihoda za unos u SAP'!$K$3:$K$501,"=661")</f>
        <v>1910000</v>
      </c>
      <c r="H22" s="187">
        <f>SUMIFS('Plan prihoda za unos u SAP'!$G$3:$G$501,'Plan prihoda za unos u SAP'!$C$3:$C$501,"=41",'Plan prihoda za unos u SAP'!$K$3:$K$501,"=661")</f>
        <v>0</v>
      </c>
      <c r="I22" s="187">
        <f>SUMIFS('Plan prihoda za unos u SAP'!$G$3:$G$501,'Plan prihoda za unos u SAP'!$C$3:$C$501,"=43",'Plan prihoda za unos u SAP'!$K$3:$K$501,"=661")</f>
        <v>0</v>
      </c>
      <c r="J22" s="187">
        <f>SUMIFS('Plan prihoda za unos u SAP'!$G$3:$G$501,'Plan prihoda za unos u SAP'!$C$3:$C$501,"=51",'Plan prihoda za unos u SAP'!$K$3:$K$501,"=661")</f>
        <v>0</v>
      </c>
      <c r="K22" s="187">
        <f>SUMIFS('Plan prihoda za unos u SAP'!$G$3:$G$501,'Plan prihoda za unos u SAP'!$C$3:$C$501,"=52",'Plan prihoda za unos u SAP'!$K$3:$K$501,"=661")</f>
        <v>0</v>
      </c>
      <c r="L22" s="187">
        <f>SUMIFS('Plan prihoda za unos u SAP'!$G$3:$G$501,'Plan prihoda za unos u SAP'!$C$3:$C$501,"=552",'Plan prihoda za unos u SAP'!$K$3:$K$501,"=661")</f>
        <v>0</v>
      </c>
      <c r="M22" s="187">
        <f>SUMIFS('Plan prihoda za unos u SAP'!$G$3:$G$501,'Plan prihoda za unos u SAP'!$C$3:$C$501,"=559",'Plan prihoda za unos u SAP'!$K$3:$K$501,"=661")</f>
        <v>0</v>
      </c>
      <c r="N22" s="187">
        <f>SUMIFS('Plan prihoda za unos u SAP'!$G$3:$G$501,'Plan prihoda za unos u SAP'!$C$3:$C$501,"=561",'Plan prihoda za unos u SAP'!$K$3:$K$501,"=661")</f>
        <v>0</v>
      </c>
      <c r="O22" s="187">
        <f>SUMIFS('Plan prihoda za unos u SAP'!$G$3:$G$501,'Plan prihoda za unos u SAP'!$C$3:$C$501,"=563",'Plan prihoda za unos u SAP'!$K$3:$K$501,"=661")</f>
        <v>0</v>
      </c>
      <c r="P22" s="187">
        <f>SUMIFS('Plan prihoda za unos u SAP'!$G$3:$G$501,'Plan prihoda za unos u SAP'!$C$3:$C$501,"=573",'Plan prihoda za unos u SAP'!$K$3:$K$501,"=661")</f>
        <v>0</v>
      </c>
      <c r="Q22" s="187">
        <f>SUMIFS('Plan prihoda za unos u SAP'!$G$3:$G$501,'Plan prihoda za unos u SAP'!$C$3:$C$501,"=575",'Plan prihoda za unos u SAP'!$K$3:$K$501,"=661")</f>
        <v>0</v>
      </c>
      <c r="R22" s="187">
        <f>SUMIFS('Plan prihoda za unos u SAP'!$G$3:$G$501,'Plan prihoda za unos u SAP'!$C$3:$C$501,"=576",'Plan prihoda za unos u SAP'!$K$3:$K$501,"=661")</f>
        <v>0</v>
      </c>
      <c r="S22" s="187">
        <f>SUMIFS('Plan prihoda za unos u SAP'!$G$3:$G$501,'Plan prihoda za unos u SAP'!$C$3:$C$501,"=61",'Plan prihoda za unos u SAP'!$K$3:$K$501,"=661")</f>
        <v>0</v>
      </c>
      <c r="T22" s="187">
        <f>SUMIFS('Plan prihoda za unos u SAP'!$G$3:$G$501,'Plan prihoda za unos u SAP'!$C$3:$C$501,"=63",'Plan prihoda za unos u SAP'!$K$3:$K$501,"=661")</f>
        <v>0</v>
      </c>
      <c r="U22" s="187">
        <f>SUMIFS('Plan prihoda za unos u SAP'!$G$3:$G$501,'Plan prihoda za unos u SAP'!$C$3:$C$501,"=71",'Plan prihoda za unos u SAP'!$K$3:$K$501,"=661")</f>
        <v>0</v>
      </c>
      <c r="V22" s="187">
        <f>SUMIFS('Plan prihoda za unos u SAP'!$G$3:$G$501,'Plan prihoda za unos u SAP'!$C$3:$C$501,"=81",'Plan prihoda za unos u SAP'!$K$3:$K$501,"=661")</f>
        <v>0</v>
      </c>
      <c r="W22" s="187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2147</v>
      </c>
      <c r="C23" s="96" t="s">
        <v>2148</v>
      </c>
      <c r="D23" s="70">
        <f t="shared" si="1"/>
        <v>137500</v>
      </c>
      <c r="E23" s="187">
        <f>SUMIFS('Plan prihoda za unos u SAP'!$G$3:$G$501,'Plan prihoda za unos u SAP'!$C$3:$C$501,"=11",'Plan prihoda za unos u SAP'!$K$3:$K$501,"=663")</f>
        <v>0</v>
      </c>
      <c r="F23" s="187">
        <f>SUMIFS('Plan prihoda za unos u SAP'!$G$3:$G$501,'Plan prihoda za unos u SAP'!$C$3:$C$501,"=12",'Plan prihoda za unos u SAP'!$K$3:$K$501,"=663")</f>
        <v>0</v>
      </c>
      <c r="G23" s="187">
        <f>SUMIFS('Plan prihoda za unos u SAP'!$G$3:$G$501,'Plan prihoda za unos u SAP'!$C$3:$C$501,"=31",'Plan prihoda za unos u SAP'!$K$3:$K$501,"=663")</f>
        <v>0</v>
      </c>
      <c r="H23" s="187">
        <f>SUMIFS('Plan prihoda za unos u SAP'!$G$3:$G$501,'Plan prihoda za unos u SAP'!$C$3:$C$501,"=41",'Plan prihoda za unos u SAP'!$K$3:$K$501,"=663")</f>
        <v>0</v>
      </c>
      <c r="I23" s="187">
        <f>SUMIFS('Plan prihoda za unos u SAP'!$G$3:$G$501,'Plan prihoda za unos u SAP'!$C$3:$C$501,"=43",'Plan prihoda za unos u SAP'!$K$3:$K$501,"=663")</f>
        <v>0</v>
      </c>
      <c r="J23" s="187">
        <f>SUMIFS('Plan prihoda za unos u SAP'!$G$3:$G$501,'Plan prihoda za unos u SAP'!$C$3:$C$501,"=51",'Plan prihoda za unos u SAP'!$K$3:$K$501,"=663")</f>
        <v>0</v>
      </c>
      <c r="K23" s="187">
        <f>SUMIFS('Plan prihoda za unos u SAP'!$G$3:$G$501,'Plan prihoda za unos u SAP'!$C$3:$C$501,"=52",'Plan prihoda za unos u SAP'!$K$3:$K$501,"=663")</f>
        <v>0</v>
      </c>
      <c r="L23" s="187">
        <f>SUMIFS('Plan prihoda za unos u SAP'!$G$3:$G$501,'Plan prihoda za unos u SAP'!$C$3:$C$501,"=552",'Plan prihoda za unos u SAP'!$K$3:$K$501,"=663")</f>
        <v>0</v>
      </c>
      <c r="M23" s="187">
        <f>SUMIFS('Plan prihoda za unos u SAP'!$G$3:$G$501,'Plan prihoda za unos u SAP'!$C$3:$C$501,"=559",'Plan prihoda za unos u SAP'!$K$3:$K$501,"=663")</f>
        <v>0</v>
      </c>
      <c r="N23" s="187">
        <f>SUMIFS('Plan prihoda za unos u SAP'!$G$3:$G$501,'Plan prihoda za unos u SAP'!$C$3:$C$501,"=561",'Plan prihoda za unos u SAP'!$K$3:$K$501,"=663")</f>
        <v>0</v>
      </c>
      <c r="O23" s="187">
        <f>SUMIFS('Plan prihoda za unos u SAP'!$G$3:$G$501,'Plan prihoda za unos u SAP'!$C$3:$C$501,"=563",'Plan prihoda za unos u SAP'!$K$3:$K$501,"=663")</f>
        <v>0</v>
      </c>
      <c r="P23" s="187">
        <f>SUMIFS('Plan prihoda za unos u SAP'!$G$3:$G$501,'Plan prihoda za unos u SAP'!$C$3:$C$501,"=573",'Plan prihoda za unos u SAP'!$K$3:$K$501,"=663")</f>
        <v>0</v>
      </c>
      <c r="Q23" s="187">
        <f>SUMIFS('Plan prihoda za unos u SAP'!$G$3:$G$501,'Plan prihoda za unos u SAP'!$C$3:$C$501,"=575",'Plan prihoda za unos u SAP'!$K$3:$K$501,"=663")</f>
        <v>0</v>
      </c>
      <c r="R23" s="187">
        <f>SUMIFS('Plan prihoda za unos u SAP'!$G$3:$G$501,'Plan prihoda za unos u SAP'!$C$3:$C$501,"=576",'Plan prihoda za unos u SAP'!$K$3:$K$501,"=663")</f>
        <v>0</v>
      </c>
      <c r="S23" s="187">
        <f>SUMIFS('Plan prihoda za unos u SAP'!$G$3:$G$501,'Plan prihoda za unos u SAP'!$C$3:$C$501,"=61",'Plan prihoda za unos u SAP'!$K$3:$K$501,"=663")</f>
        <v>137500</v>
      </c>
      <c r="T23" s="187">
        <f>SUMIFS('Plan prihoda za unos u SAP'!$G$3:$G$501,'Plan prihoda za unos u SAP'!$C$3:$C$501,"=63",'Plan prihoda za unos u SAP'!$K$3:$K$501,"=663")</f>
        <v>0</v>
      </c>
      <c r="U23" s="187">
        <f>SUMIFS('Plan prihoda za unos u SAP'!$G$3:$G$501,'Plan prihoda za unos u SAP'!$C$3:$C$501,"=71",'Plan prihoda za unos u SAP'!$K$3:$K$501,"=663")</f>
        <v>0</v>
      </c>
      <c r="V23" s="187">
        <f>SUMIFS('Plan prihoda za unos u SAP'!$G$3:$G$501,'Plan prihoda za unos u SAP'!$C$3:$C$501,"=81",'Plan prihoda za unos u SAP'!$K$3:$K$501,"=663")</f>
        <v>0</v>
      </c>
      <c r="W23" s="187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2149</v>
      </c>
      <c r="C24" s="96" t="s">
        <v>598</v>
      </c>
      <c r="D24" s="70">
        <f t="shared" si="1"/>
        <v>16743890</v>
      </c>
      <c r="E24" s="187">
        <f>SUMIFS('Plan prihoda za unos u SAP'!$G$3:$G$501,'Plan prihoda za unos u SAP'!$C$3:$C$501,"=11",'Plan prihoda za unos u SAP'!$K$3:$K$501,"=671")</f>
        <v>16743890</v>
      </c>
      <c r="F24" s="187">
        <f>SUMIFS('Plan prihoda za unos u SAP'!$G$3:$G$501,'Plan prihoda za unos u SAP'!$C$3:$C$501,"=12",'Plan prihoda za unos u SAP'!$K$3:$K$501,"=671")</f>
        <v>0</v>
      </c>
      <c r="G24" s="187">
        <f>SUMIFS('Plan prihoda za unos u SAP'!$G$3:$G$501,'Plan prihoda za unos u SAP'!$C$3:$C$501,"=31",'Plan prihoda za unos u SAP'!$K$3:$K$501,"=671")</f>
        <v>0</v>
      </c>
      <c r="H24" s="187">
        <f>SUMIFS('Plan prihoda za unos u SAP'!$G$3:$G$501,'Plan prihoda za unos u SAP'!$C$3:$C$501,"=41",'Plan prihoda za unos u SAP'!$K$3:$K$501,"=671")</f>
        <v>0</v>
      </c>
      <c r="I24" s="187">
        <f>SUMIFS('Plan prihoda za unos u SAP'!$G$3:$G$501,'Plan prihoda za unos u SAP'!$C$3:$C$501,"=43",'Plan prihoda za unos u SAP'!$K$3:$K$501,"=671")</f>
        <v>0</v>
      </c>
      <c r="J24" s="187">
        <f>SUMIFS('Plan prihoda za unos u SAP'!$G$3:$G$501,'Plan prihoda za unos u SAP'!$C$3:$C$501,"=51",'Plan prihoda za unos u SAP'!$K$3:$K$501,"=671")</f>
        <v>0</v>
      </c>
      <c r="K24" s="187">
        <f>SUMIFS('Plan prihoda za unos u SAP'!$G$3:$G$501,'Plan prihoda za unos u SAP'!$C$3:$C$501,"=52",'Plan prihoda za unos u SAP'!$K$3:$K$501,"=671")</f>
        <v>0</v>
      </c>
      <c r="L24" s="187">
        <f>SUMIFS('Plan prihoda za unos u SAP'!$G$3:$G$501,'Plan prihoda za unos u SAP'!$C$3:$C$501,"=552",'Plan prihoda za unos u SAP'!$K$3:$K$501,"=671")</f>
        <v>0</v>
      </c>
      <c r="M24" s="187">
        <f>SUMIFS('Plan prihoda za unos u SAP'!$G$3:$G$501,'Plan prihoda za unos u SAP'!$C$3:$C$501,"=559",'Plan prihoda za unos u SAP'!$K$3:$K$501,"=671")</f>
        <v>0</v>
      </c>
      <c r="N24" s="187">
        <f>SUMIFS('Plan prihoda za unos u SAP'!$G$3:$G$501,'Plan prihoda za unos u SAP'!$C$3:$C$501,"=561",'Plan prihoda za unos u SAP'!$K$3:$K$501,"=671")</f>
        <v>0</v>
      </c>
      <c r="O24" s="187">
        <f>SUMIFS('Plan prihoda za unos u SAP'!$G$3:$G$501,'Plan prihoda za unos u SAP'!$C$3:$C$501,"=563",'Plan prihoda za unos u SAP'!$K$3:$K$501,"=671")</f>
        <v>0</v>
      </c>
      <c r="P24" s="187">
        <f>SUMIFS('Plan prihoda za unos u SAP'!$G$3:$G$501,'Plan prihoda za unos u SAP'!$C$3:$C$501,"=573",'Plan prihoda za unos u SAP'!$K$3:$K$501,"=671")</f>
        <v>0</v>
      </c>
      <c r="Q24" s="187">
        <f>SUMIFS('Plan prihoda za unos u SAP'!$G$3:$G$501,'Plan prihoda za unos u SAP'!$C$3:$C$501,"=575",'Plan prihoda za unos u SAP'!$K$3:$K$501,"=671")</f>
        <v>0</v>
      </c>
      <c r="R24" s="187">
        <f>SUMIFS('Plan prihoda za unos u SAP'!$G$3:$G$501,'Plan prihoda za unos u SAP'!$C$3:$C$501,"=576",'Plan prihoda za unos u SAP'!$K$3:$K$501,"=671")</f>
        <v>0</v>
      </c>
      <c r="S24" s="187">
        <f>SUMIFS('Plan prihoda za unos u SAP'!$G$3:$G$501,'Plan prihoda za unos u SAP'!$C$3:$C$501,"=61",'Plan prihoda za unos u SAP'!$K$3:$K$501,"=671")</f>
        <v>0</v>
      </c>
      <c r="T24" s="187">
        <f>SUMIFS('Plan prihoda za unos u SAP'!$G$3:$G$501,'Plan prihoda za unos u SAP'!$C$3:$C$501,"=63",'Plan prihoda za unos u SAP'!$K$3:$K$501,"=671")</f>
        <v>0</v>
      </c>
      <c r="U24" s="187">
        <f>SUMIFS('Plan prihoda za unos u SAP'!$G$3:$G$501,'Plan prihoda za unos u SAP'!$C$3:$C$501,"=71",'Plan prihoda za unos u SAP'!$K$3:$K$501,"=671")</f>
        <v>0</v>
      </c>
      <c r="V24" s="187">
        <f>SUMIFS('Plan prihoda za unos u SAP'!$G$3:$G$501,'Plan prihoda za unos u SAP'!$C$3:$C$501,"=81",'Plan prihoda za unos u SAP'!$K$3:$K$501,"=671")</f>
        <v>0</v>
      </c>
      <c r="W24" s="187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2150</v>
      </c>
      <c r="C25" s="96" t="s">
        <v>2151</v>
      </c>
      <c r="D25" s="70">
        <f t="shared" si="1"/>
        <v>0</v>
      </c>
      <c r="E25" s="187">
        <f>SUMIFS('Plan prihoda za unos u SAP'!$G$3:$G$501,'Plan prihoda za unos u SAP'!$C$3:$C$501,"=11",'Plan prihoda za unos u SAP'!$K$3:$K$501,"=681")</f>
        <v>0</v>
      </c>
      <c r="F25" s="187">
        <f>SUMIFS('Plan prihoda za unos u SAP'!$G$3:$G$501,'Plan prihoda za unos u SAP'!$C$3:$C$501,"=12",'Plan prihoda za unos u SAP'!$K$3:$K$501,"=681")</f>
        <v>0</v>
      </c>
      <c r="G25" s="187">
        <f>SUMIFS('Plan prihoda za unos u SAP'!$G$3:$G$501,'Plan prihoda za unos u SAP'!$C$3:$C$501,"=31",'Plan prihoda za unos u SAP'!$K$3:$K$501,"=681")</f>
        <v>0</v>
      </c>
      <c r="H25" s="187">
        <f>SUMIFS('Plan prihoda za unos u SAP'!$G$3:$G$501,'Plan prihoda za unos u SAP'!$C$3:$C$501,"=41",'Plan prihoda za unos u SAP'!$K$3:$K$501,"=681")</f>
        <v>0</v>
      </c>
      <c r="I25" s="187">
        <f>SUMIFS('Plan prihoda za unos u SAP'!$G$3:$G$501,'Plan prihoda za unos u SAP'!$C$3:$C$501,"=43",'Plan prihoda za unos u SAP'!$K$3:$K$501,"=681")</f>
        <v>0</v>
      </c>
      <c r="J25" s="187">
        <f>SUMIFS('Plan prihoda za unos u SAP'!$G$3:$G$501,'Plan prihoda za unos u SAP'!$C$3:$C$501,"=51",'Plan prihoda za unos u SAP'!$K$3:$K$501,"=681")</f>
        <v>0</v>
      </c>
      <c r="K25" s="187">
        <f>SUMIFS('Plan prihoda za unos u SAP'!$G$3:$G$501,'Plan prihoda za unos u SAP'!$C$3:$C$501,"=52",'Plan prihoda za unos u SAP'!$K$3:$K$501,"=681")</f>
        <v>0</v>
      </c>
      <c r="L25" s="187">
        <f>SUMIFS('Plan prihoda za unos u SAP'!$G$3:$G$501,'Plan prihoda za unos u SAP'!$C$3:$C$501,"=552",'Plan prihoda za unos u SAP'!$K$3:$K$501,"=681")</f>
        <v>0</v>
      </c>
      <c r="M25" s="187">
        <f>SUMIFS('Plan prihoda za unos u SAP'!$G$3:$G$501,'Plan prihoda za unos u SAP'!$C$3:$C$501,"=559",'Plan prihoda za unos u SAP'!$K$3:$K$501,"=681")</f>
        <v>0</v>
      </c>
      <c r="N25" s="187">
        <f>SUMIFS('Plan prihoda za unos u SAP'!$G$3:$G$501,'Plan prihoda za unos u SAP'!$C$3:$C$501,"=561",'Plan prihoda za unos u SAP'!$K$3:$K$501,"=681")</f>
        <v>0</v>
      </c>
      <c r="O25" s="187">
        <f>SUMIFS('Plan prihoda za unos u SAP'!$G$3:$G$501,'Plan prihoda za unos u SAP'!$C$3:$C$501,"=563",'Plan prihoda za unos u SAP'!$K$3:$K$501,"=681")</f>
        <v>0</v>
      </c>
      <c r="P25" s="187">
        <f>SUMIFS('Plan prihoda za unos u SAP'!$G$3:$G$501,'Plan prihoda za unos u SAP'!$C$3:$C$501,"=573",'Plan prihoda za unos u SAP'!$K$3:$K$501,"=681")</f>
        <v>0</v>
      </c>
      <c r="Q25" s="187">
        <f>SUMIFS('Plan prihoda za unos u SAP'!$G$3:$G$501,'Plan prihoda za unos u SAP'!$C$3:$C$501,"=575",'Plan prihoda za unos u SAP'!$K$3:$K$501,"=681")</f>
        <v>0</v>
      </c>
      <c r="R25" s="187">
        <f>SUMIFS('Plan prihoda za unos u SAP'!$G$3:$G$501,'Plan prihoda za unos u SAP'!$C$3:$C$501,"=576",'Plan prihoda za unos u SAP'!$K$3:$K$501,"=681")</f>
        <v>0</v>
      </c>
      <c r="S25" s="187">
        <f>SUMIFS('Plan prihoda za unos u SAP'!$G$3:$G$501,'Plan prihoda za unos u SAP'!$C$3:$C$501,"=61",'Plan prihoda za unos u SAP'!$K$3:$K$501,"=681")</f>
        <v>0</v>
      </c>
      <c r="T25" s="187">
        <f>SUMIFS('Plan prihoda za unos u SAP'!$G$3:$G$501,'Plan prihoda za unos u SAP'!$C$3:$C$501,"=63",'Plan prihoda za unos u SAP'!$K$3:$K$501,"=681")</f>
        <v>0</v>
      </c>
      <c r="U25" s="187">
        <f>SUMIFS('Plan prihoda za unos u SAP'!$G$3:$G$501,'Plan prihoda za unos u SAP'!$C$3:$C$501,"=71",'Plan prihoda za unos u SAP'!$K$3:$K$501,"=681")</f>
        <v>0</v>
      </c>
      <c r="V25" s="187">
        <f>SUMIFS('Plan prihoda za unos u SAP'!$G$3:$G$501,'Plan prihoda za unos u SAP'!$C$3:$C$501,"=81",'Plan prihoda za unos u SAP'!$K$3:$K$501,"=681")</f>
        <v>0</v>
      </c>
      <c r="W25" s="187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2152</v>
      </c>
      <c r="C26" s="96" t="s">
        <v>2153</v>
      </c>
      <c r="D26" s="70">
        <f t="shared" si="1"/>
        <v>0</v>
      </c>
      <c r="E26" s="187">
        <f>SUMIFS('Plan prihoda za unos u SAP'!$G$3:$G$501,'Plan prihoda za unos u SAP'!$C$3:$C$501,"=11",'Plan prihoda za unos u SAP'!$K$3:$K$501,"=683")</f>
        <v>0</v>
      </c>
      <c r="F26" s="187">
        <f>SUMIFS('Plan prihoda za unos u SAP'!$G$3:$G$501,'Plan prihoda za unos u SAP'!$C$3:$C$501,"=12",'Plan prihoda za unos u SAP'!$K$3:$K$501,"=683")</f>
        <v>0</v>
      </c>
      <c r="G26" s="187">
        <f>SUMIFS('Plan prihoda za unos u SAP'!$G$3:$G$501,'Plan prihoda za unos u SAP'!$C$3:$C$501,"=31",'Plan prihoda za unos u SAP'!$K$3:$K$501,"=683")</f>
        <v>0</v>
      </c>
      <c r="H26" s="187">
        <f>SUMIFS('Plan prihoda za unos u SAP'!$G$3:$G$501,'Plan prihoda za unos u SAP'!$C$3:$C$501,"=41",'Plan prihoda za unos u SAP'!$K$3:$K$501,"=683")</f>
        <v>0</v>
      </c>
      <c r="I26" s="187">
        <f>SUMIFS('Plan prihoda za unos u SAP'!$G$3:$G$501,'Plan prihoda za unos u SAP'!$C$3:$C$501,"=43",'Plan prihoda za unos u SAP'!$K$3:$K$501,"=683")</f>
        <v>0</v>
      </c>
      <c r="J26" s="187">
        <f>SUMIFS('Plan prihoda za unos u SAP'!$G$3:$G$501,'Plan prihoda za unos u SAP'!$C$3:$C$501,"=51",'Plan prihoda za unos u SAP'!$K$3:$K$501,"=683")</f>
        <v>0</v>
      </c>
      <c r="K26" s="187">
        <f>SUMIFS('Plan prihoda za unos u SAP'!$G$3:$G$501,'Plan prihoda za unos u SAP'!$C$3:$C$501,"=52",'Plan prihoda za unos u SAP'!$K$3:$K$501,"=683")</f>
        <v>0</v>
      </c>
      <c r="L26" s="187">
        <f>SUMIFS('Plan prihoda za unos u SAP'!$G$3:$G$501,'Plan prihoda za unos u SAP'!$C$3:$C$501,"=552",'Plan prihoda za unos u SAP'!$K$3:$K$501,"=683")</f>
        <v>0</v>
      </c>
      <c r="M26" s="187">
        <f>SUMIFS('Plan prihoda za unos u SAP'!$G$3:$G$501,'Plan prihoda za unos u SAP'!$C$3:$C$501,"=559",'Plan prihoda za unos u SAP'!$K$3:$K$501,"=683")</f>
        <v>0</v>
      </c>
      <c r="N26" s="187">
        <f>SUMIFS('Plan prihoda za unos u SAP'!$G$3:$G$501,'Plan prihoda za unos u SAP'!$C$3:$C$501,"=561",'Plan prihoda za unos u SAP'!$K$3:$K$501,"=683")</f>
        <v>0</v>
      </c>
      <c r="O26" s="187">
        <f>SUMIFS('Plan prihoda za unos u SAP'!$G$3:$G$501,'Plan prihoda za unos u SAP'!$C$3:$C$501,"=563",'Plan prihoda za unos u SAP'!$K$3:$K$501,"=683")</f>
        <v>0</v>
      </c>
      <c r="P26" s="187">
        <f>SUMIFS('Plan prihoda za unos u SAP'!$G$3:$G$501,'Plan prihoda za unos u SAP'!$C$3:$C$501,"=573",'Plan prihoda za unos u SAP'!$K$3:$K$501,"=683")</f>
        <v>0</v>
      </c>
      <c r="Q26" s="187">
        <f>SUMIFS('Plan prihoda za unos u SAP'!$G$3:$G$501,'Plan prihoda za unos u SAP'!$C$3:$C$501,"=575",'Plan prihoda za unos u SAP'!$K$3:$K$501,"=683")</f>
        <v>0</v>
      </c>
      <c r="R26" s="187">
        <f>SUMIFS('Plan prihoda za unos u SAP'!$G$3:$G$501,'Plan prihoda za unos u SAP'!$C$3:$C$501,"=576",'Plan prihoda za unos u SAP'!$K$3:$K$501,"=683")</f>
        <v>0</v>
      </c>
      <c r="S26" s="187">
        <f>SUMIFS('Plan prihoda za unos u SAP'!$G$3:$G$501,'Plan prihoda za unos u SAP'!$C$3:$C$501,"=61",'Plan prihoda za unos u SAP'!$K$3:$K$501,"=683")</f>
        <v>0</v>
      </c>
      <c r="T26" s="187">
        <f>SUMIFS('Plan prihoda za unos u SAP'!$G$3:$G$501,'Plan prihoda za unos u SAP'!$C$3:$C$501,"=63",'Plan prihoda za unos u SAP'!$K$3:$K$501,"=683")</f>
        <v>0</v>
      </c>
      <c r="U26" s="187">
        <f>SUMIFS('Plan prihoda za unos u SAP'!$G$3:$G$501,'Plan prihoda za unos u SAP'!$C$3:$C$501,"=71",'Plan prihoda za unos u SAP'!$K$3:$K$501,"=683")</f>
        <v>0</v>
      </c>
      <c r="V26" s="187">
        <f>SUMIFS('Plan prihoda za unos u SAP'!$G$3:$G$501,'Plan prihoda za unos u SAP'!$C$3:$C$501,"=81",'Plan prihoda za unos u SAP'!$K$3:$K$501,"=683")</f>
        <v>0</v>
      </c>
      <c r="W26" s="187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2154</v>
      </c>
      <c r="C27" s="99" t="s">
        <v>2155</v>
      </c>
      <c r="D27" s="70">
        <f t="shared" si="1"/>
        <v>22909614</v>
      </c>
      <c r="E27" s="4">
        <f>SUM(E11:E26)</f>
        <v>16743890</v>
      </c>
      <c r="F27" s="4">
        <f t="shared" ref="F27:W27" si="4">SUM(F11:F26)</f>
        <v>0</v>
      </c>
      <c r="G27" s="4">
        <f t="shared" si="4"/>
        <v>1910000</v>
      </c>
      <c r="H27" s="4">
        <f t="shared" si="4"/>
        <v>0</v>
      </c>
      <c r="I27" s="4">
        <f t="shared" si="4"/>
        <v>3405320</v>
      </c>
      <c r="J27" s="4">
        <f t="shared" si="4"/>
        <v>437300</v>
      </c>
      <c r="K27" s="4">
        <f t="shared" si="4"/>
        <v>275604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137500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2156</v>
      </c>
      <c r="C28" s="100" t="s">
        <v>2157</v>
      </c>
      <c r="D28" s="70">
        <f t="shared" si="1"/>
        <v>0</v>
      </c>
      <c r="E28" s="187">
        <f>SUMIFS('Plan prihoda za unos u SAP'!$G$3:$G$501,'Plan prihoda za unos u SAP'!$C$3:$C$501,"=11",'Plan prihoda za unos u SAP'!$K$3:$K$501,"=711")</f>
        <v>0</v>
      </c>
      <c r="F28" s="187">
        <f>SUMIFS('Plan prihoda za unos u SAP'!$G$3:$G$501,'Plan prihoda za unos u SAP'!$C$3:$C$501,"=12",'Plan prihoda za unos u SAP'!$K$3:$K$501,"=711")</f>
        <v>0</v>
      </c>
      <c r="G28" s="187">
        <f>SUMIFS('Plan prihoda za unos u SAP'!$G$3:$G$501,'Plan prihoda za unos u SAP'!$C$3:$C$501,"=31",'Plan prihoda za unos u SAP'!$K$3:$K$501,"=711")</f>
        <v>0</v>
      </c>
      <c r="H28" s="187">
        <f>SUMIFS('Plan prihoda za unos u SAP'!$G$3:$G$501,'Plan prihoda za unos u SAP'!$C$3:$C$501,"=41",'Plan prihoda za unos u SAP'!$K$3:$K$501,"=711")</f>
        <v>0</v>
      </c>
      <c r="I28" s="187">
        <f>SUMIFS('Plan prihoda za unos u SAP'!$G$3:$G$501,'Plan prihoda za unos u SAP'!$C$3:$C$501,"=43",'Plan prihoda za unos u SAP'!$K$3:$K$501,"=711")</f>
        <v>0</v>
      </c>
      <c r="J28" s="187">
        <f>SUMIFS('Plan prihoda za unos u SAP'!$G$3:$G$501,'Plan prihoda za unos u SAP'!$C$3:$C$501,"=51",'Plan prihoda za unos u SAP'!$K$3:$K$501,"=711")</f>
        <v>0</v>
      </c>
      <c r="K28" s="187">
        <f>SUMIFS('Plan prihoda za unos u SAP'!$G$3:$G$501,'Plan prihoda za unos u SAP'!$C$3:$C$501,"=52",'Plan prihoda za unos u SAP'!$K$3:$K$501,"=711")</f>
        <v>0</v>
      </c>
      <c r="L28" s="187">
        <f>SUMIFS('Plan prihoda za unos u SAP'!$G$3:$G$501,'Plan prihoda za unos u SAP'!$C$3:$C$501,"=552",'Plan prihoda za unos u SAP'!$K$3:$K$501,"=711")</f>
        <v>0</v>
      </c>
      <c r="M28" s="187">
        <f>SUMIFS('Plan prihoda za unos u SAP'!$G$3:$G$501,'Plan prihoda za unos u SAP'!$C$3:$C$501,"=559",'Plan prihoda za unos u SAP'!$K$3:$K$501,"=711")</f>
        <v>0</v>
      </c>
      <c r="N28" s="187">
        <f>SUMIFS('Plan prihoda za unos u SAP'!$G$3:$G$501,'Plan prihoda za unos u SAP'!$C$3:$C$501,"=561",'Plan prihoda za unos u SAP'!$K$3:$K$501,"=711")</f>
        <v>0</v>
      </c>
      <c r="O28" s="187">
        <f>SUMIFS('Plan prihoda za unos u SAP'!$G$3:$G$501,'Plan prihoda za unos u SAP'!$C$3:$C$501,"=563",'Plan prihoda za unos u SAP'!$K$3:$K$501,"=711")</f>
        <v>0</v>
      </c>
      <c r="P28" s="187">
        <f>SUMIFS('Plan prihoda za unos u SAP'!$G$3:$G$501,'Plan prihoda za unos u SAP'!$C$3:$C$501,"=573",'Plan prihoda za unos u SAP'!$K$3:$K$501,"=711")</f>
        <v>0</v>
      </c>
      <c r="Q28" s="187">
        <f>SUMIFS('Plan prihoda za unos u SAP'!$G$3:$G$501,'Plan prihoda za unos u SAP'!$C$3:$C$501,"=575",'Plan prihoda za unos u SAP'!$K$3:$K$501,"=711")</f>
        <v>0</v>
      </c>
      <c r="R28" s="187">
        <f>SUMIFS('Plan prihoda za unos u SAP'!$G$3:$G$501,'Plan prihoda za unos u SAP'!$C$3:$C$501,"=576",'Plan prihoda za unos u SAP'!$K$3:$K$501,"=711")</f>
        <v>0</v>
      </c>
      <c r="S28" s="187">
        <f>SUMIFS('Plan prihoda za unos u SAP'!$G$3:$G$501,'Plan prihoda za unos u SAP'!$C$3:$C$501,"=61",'Plan prihoda za unos u SAP'!$K$3:$K$501,"=711")</f>
        <v>0</v>
      </c>
      <c r="T28" s="187">
        <f>SUMIFS('Plan prihoda za unos u SAP'!$G$3:$G$501,'Plan prihoda za unos u SAP'!$C$3:$C$501,"=63",'Plan prihoda za unos u SAP'!$K$3:$K$501,"=711")</f>
        <v>0</v>
      </c>
      <c r="U28" s="187">
        <f>SUMIFS('Plan prihoda za unos u SAP'!$G$3:$G$501,'Plan prihoda za unos u SAP'!$C$3:$C$501,"=71",'Plan prihoda za unos u SAP'!$K$3:$K$501,"=711")</f>
        <v>0</v>
      </c>
      <c r="V28" s="187">
        <f>SUMIFS('Plan prihoda za unos u SAP'!$G$3:$G$501,'Plan prihoda za unos u SAP'!$C$3:$C$501,"=81",'Plan prihoda za unos u SAP'!$K$3:$K$501,"=711")</f>
        <v>0</v>
      </c>
      <c r="W28" s="187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2158</v>
      </c>
      <c r="C29" s="100" t="s">
        <v>2159</v>
      </c>
      <c r="D29" s="70">
        <f t="shared" si="1"/>
        <v>0</v>
      </c>
      <c r="E29" s="187">
        <f>SUMIFS('Plan prihoda za unos u SAP'!$G$3:$G$501,'Plan prihoda za unos u SAP'!$C$3:$C$501,"=11",'Plan prihoda za unos u SAP'!$K$3:$K$501,"=712")</f>
        <v>0</v>
      </c>
      <c r="F29" s="187">
        <f>SUMIFS('Plan prihoda za unos u SAP'!$G$3:$G$501,'Plan prihoda za unos u SAP'!$C$3:$C$501,"=12",'Plan prihoda za unos u SAP'!$K$3:$K$501,"=712")</f>
        <v>0</v>
      </c>
      <c r="G29" s="187">
        <f>SUMIFS('Plan prihoda za unos u SAP'!$G$3:$G$501,'Plan prihoda za unos u SAP'!$C$3:$C$501,"=31",'Plan prihoda za unos u SAP'!$K$3:$K$501,"=712")</f>
        <v>0</v>
      </c>
      <c r="H29" s="187">
        <f>SUMIFS('Plan prihoda za unos u SAP'!$G$3:$G$501,'Plan prihoda za unos u SAP'!$C$3:$C$501,"=41",'Plan prihoda za unos u SAP'!$K$3:$K$501,"=712")</f>
        <v>0</v>
      </c>
      <c r="I29" s="187">
        <f>SUMIFS('Plan prihoda za unos u SAP'!$G$3:$G$501,'Plan prihoda za unos u SAP'!$C$3:$C$501,"=43",'Plan prihoda za unos u SAP'!$K$3:$K$501,"=712")</f>
        <v>0</v>
      </c>
      <c r="J29" s="187">
        <f>SUMIFS('Plan prihoda za unos u SAP'!$G$3:$G$501,'Plan prihoda za unos u SAP'!$C$3:$C$501,"=51",'Plan prihoda za unos u SAP'!$K$3:$K$501,"=712")</f>
        <v>0</v>
      </c>
      <c r="K29" s="187">
        <f>SUMIFS('Plan prihoda za unos u SAP'!$G$3:$G$501,'Plan prihoda za unos u SAP'!$C$3:$C$501,"=52",'Plan prihoda za unos u SAP'!$K$3:$K$501,"=712")</f>
        <v>0</v>
      </c>
      <c r="L29" s="187">
        <f>SUMIFS('Plan prihoda za unos u SAP'!$G$3:$G$501,'Plan prihoda za unos u SAP'!$C$3:$C$501,"=552",'Plan prihoda za unos u SAP'!$K$3:$K$501,"=712")</f>
        <v>0</v>
      </c>
      <c r="M29" s="187">
        <f>SUMIFS('Plan prihoda za unos u SAP'!$G$3:$G$501,'Plan prihoda za unos u SAP'!$C$3:$C$501,"=559",'Plan prihoda za unos u SAP'!$K$3:$K$501,"=712")</f>
        <v>0</v>
      </c>
      <c r="N29" s="187">
        <f>SUMIFS('Plan prihoda za unos u SAP'!$G$3:$G$501,'Plan prihoda za unos u SAP'!$C$3:$C$501,"=561",'Plan prihoda za unos u SAP'!$K$3:$K$501,"=712")</f>
        <v>0</v>
      </c>
      <c r="O29" s="187">
        <f>SUMIFS('Plan prihoda za unos u SAP'!$G$3:$G$501,'Plan prihoda za unos u SAP'!$C$3:$C$501,"=563",'Plan prihoda za unos u SAP'!$K$3:$K$501,"=712")</f>
        <v>0</v>
      </c>
      <c r="P29" s="187">
        <f>SUMIFS('Plan prihoda za unos u SAP'!$G$3:$G$501,'Plan prihoda za unos u SAP'!$C$3:$C$501,"=573",'Plan prihoda za unos u SAP'!$K$3:$K$501,"=712")</f>
        <v>0</v>
      </c>
      <c r="Q29" s="187">
        <f>SUMIFS('Plan prihoda za unos u SAP'!$G$3:$G$501,'Plan prihoda za unos u SAP'!$C$3:$C$501,"=575",'Plan prihoda za unos u SAP'!$K$3:$K$501,"=712")</f>
        <v>0</v>
      </c>
      <c r="R29" s="187">
        <f>SUMIFS('Plan prihoda za unos u SAP'!$G$3:$G$501,'Plan prihoda za unos u SAP'!$C$3:$C$501,"=576",'Plan prihoda za unos u SAP'!$K$3:$K$501,"=712")</f>
        <v>0</v>
      </c>
      <c r="S29" s="187">
        <f>SUMIFS('Plan prihoda za unos u SAP'!$G$3:$G$501,'Plan prihoda za unos u SAP'!$C$3:$C$501,"=61",'Plan prihoda za unos u SAP'!$K$3:$K$501,"=712")</f>
        <v>0</v>
      </c>
      <c r="T29" s="187">
        <f>SUMIFS('Plan prihoda za unos u SAP'!$G$3:$G$501,'Plan prihoda za unos u SAP'!$C$3:$C$501,"=63",'Plan prihoda za unos u SAP'!$K$3:$K$501,"=712")</f>
        <v>0</v>
      </c>
      <c r="U29" s="187">
        <f>SUMIFS('Plan prihoda za unos u SAP'!$G$3:$G$501,'Plan prihoda za unos u SAP'!$C$3:$C$501,"=71",'Plan prihoda za unos u SAP'!$K$3:$K$501,"=712")</f>
        <v>0</v>
      </c>
      <c r="V29" s="187">
        <f>SUMIFS('Plan prihoda za unos u SAP'!$G$3:$G$501,'Plan prihoda za unos u SAP'!$C$3:$C$501,"=81",'Plan prihoda za unos u SAP'!$K$3:$K$501,"=712")</f>
        <v>0</v>
      </c>
      <c r="W29" s="187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2160</v>
      </c>
      <c r="C30" s="100" t="s">
        <v>2161</v>
      </c>
      <c r="D30" s="70">
        <f t="shared" si="1"/>
        <v>0</v>
      </c>
      <c r="E30" s="187">
        <f>SUMIFS('Plan prihoda za unos u SAP'!$G$3:$G$501,'Plan prihoda za unos u SAP'!$C$3:$C$501,"=11",'Plan prihoda za unos u SAP'!$K$3:$K$501,"=721")</f>
        <v>0</v>
      </c>
      <c r="F30" s="187">
        <f>SUMIFS('Plan prihoda za unos u SAP'!$G$3:$G$501,'Plan prihoda za unos u SAP'!$C$3:$C$501,"=12",'Plan prihoda za unos u SAP'!$K$3:$K$501,"=721")</f>
        <v>0</v>
      </c>
      <c r="G30" s="187">
        <f>SUMIFS('Plan prihoda za unos u SAP'!$G$3:$G$501,'Plan prihoda za unos u SAP'!$C$3:$C$501,"=31",'Plan prihoda za unos u SAP'!$K$3:$K$501,"=721")</f>
        <v>0</v>
      </c>
      <c r="H30" s="187">
        <f>SUMIFS('Plan prihoda za unos u SAP'!$G$3:$G$501,'Plan prihoda za unos u SAP'!$C$3:$C$501,"=41",'Plan prihoda za unos u SAP'!$K$3:$K$501,"=721")</f>
        <v>0</v>
      </c>
      <c r="I30" s="187">
        <f>SUMIFS('Plan prihoda za unos u SAP'!$G$3:$G$501,'Plan prihoda za unos u SAP'!$C$3:$C$501,"=43",'Plan prihoda za unos u SAP'!$K$3:$K$501,"=721")</f>
        <v>0</v>
      </c>
      <c r="J30" s="187">
        <f>SUMIFS('Plan prihoda za unos u SAP'!$G$3:$G$501,'Plan prihoda za unos u SAP'!$C$3:$C$501,"=51",'Plan prihoda za unos u SAP'!$K$3:$K$501,"=721")</f>
        <v>0</v>
      </c>
      <c r="K30" s="187">
        <f>SUMIFS('Plan prihoda za unos u SAP'!$G$3:$G$501,'Plan prihoda za unos u SAP'!$C$3:$C$501,"=52",'Plan prihoda za unos u SAP'!$K$3:$K$501,"=721")</f>
        <v>0</v>
      </c>
      <c r="L30" s="187">
        <f>SUMIFS('Plan prihoda za unos u SAP'!$G$3:$G$501,'Plan prihoda za unos u SAP'!$C$3:$C$501,"=552",'Plan prihoda za unos u SAP'!$K$3:$K$501,"=721")</f>
        <v>0</v>
      </c>
      <c r="M30" s="187">
        <f>SUMIFS('Plan prihoda za unos u SAP'!$G$3:$G$501,'Plan prihoda za unos u SAP'!$C$3:$C$501,"=559",'Plan prihoda za unos u SAP'!$K$3:$K$501,"=721")</f>
        <v>0</v>
      </c>
      <c r="N30" s="187">
        <f>SUMIFS('Plan prihoda za unos u SAP'!$G$3:$G$501,'Plan prihoda za unos u SAP'!$C$3:$C$501,"=561",'Plan prihoda za unos u SAP'!$K$3:$K$501,"=721")</f>
        <v>0</v>
      </c>
      <c r="O30" s="187">
        <f>SUMIFS('Plan prihoda za unos u SAP'!$G$3:$G$501,'Plan prihoda za unos u SAP'!$C$3:$C$501,"=563",'Plan prihoda za unos u SAP'!$K$3:$K$501,"=721")</f>
        <v>0</v>
      </c>
      <c r="P30" s="187">
        <f>SUMIFS('Plan prihoda za unos u SAP'!$G$3:$G$501,'Plan prihoda za unos u SAP'!$C$3:$C$501,"=573",'Plan prihoda za unos u SAP'!$K$3:$K$501,"=721")</f>
        <v>0</v>
      </c>
      <c r="Q30" s="187">
        <f>SUMIFS('Plan prihoda za unos u SAP'!$G$3:$G$501,'Plan prihoda za unos u SAP'!$C$3:$C$501,"=575",'Plan prihoda za unos u SAP'!$K$3:$K$501,"=721")</f>
        <v>0</v>
      </c>
      <c r="R30" s="187">
        <f>SUMIFS('Plan prihoda za unos u SAP'!$G$3:$G$501,'Plan prihoda za unos u SAP'!$C$3:$C$501,"=576",'Plan prihoda za unos u SAP'!$K$3:$K$501,"=721")</f>
        <v>0</v>
      </c>
      <c r="S30" s="187">
        <f>SUMIFS('Plan prihoda za unos u SAP'!$G$3:$G$501,'Plan prihoda za unos u SAP'!$C$3:$C$501,"=61",'Plan prihoda za unos u SAP'!$K$3:$K$501,"=721")</f>
        <v>0</v>
      </c>
      <c r="T30" s="187">
        <f>SUMIFS('Plan prihoda za unos u SAP'!$G$3:$G$501,'Plan prihoda za unos u SAP'!$C$3:$C$501,"=63",'Plan prihoda za unos u SAP'!$K$3:$K$501,"=721")</f>
        <v>0</v>
      </c>
      <c r="U30" s="187">
        <f>SUMIFS('Plan prihoda za unos u SAP'!$G$3:$G$501,'Plan prihoda za unos u SAP'!$C$3:$C$501,"=71",'Plan prihoda za unos u SAP'!$K$3:$K$501,"=721")</f>
        <v>0</v>
      </c>
      <c r="V30" s="187">
        <f>SUMIFS('Plan prihoda za unos u SAP'!$G$3:$G$501,'Plan prihoda za unos u SAP'!$C$3:$C$501,"=81",'Plan prihoda za unos u SAP'!$K$3:$K$501,"=721")</f>
        <v>0</v>
      </c>
      <c r="W30" s="187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2162</v>
      </c>
      <c r="C31" s="100" t="s">
        <v>2163</v>
      </c>
      <c r="D31" s="70">
        <f t="shared" si="1"/>
        <v>0</v>
      </c>
      <c r="E31" s="187">
        <f>SUMIFS('Plan prihoda za unos u SAP'!$G$3:$G$501,'Plan prihoda za unos u SAP'!$C$3:$C$501,"=11",'Plan prihoda za unos u SAP'!$K$3:$K$501,"=722")</f>
        <v>0</v>
      </c>
      <c r="F31" s="187">
        <f>SUMIFS('Plan prihoda za unos u SAP'!$G$3:$G$501,'Plan prihoda za unos u SAP'!$C$3:$C$501,"=12",'Plan prihoda za unos u SAP'!$K$3:$K$501,"=722")</f>
        <v>0</v>
      </c>
      <c r="G31" s="187">
        <f>SUMIFS('Plan prihoda za unos u SAP'!$G$3:$G$501,'Plan prihoda za unos u SAP'!$C$3:$C$501,"=31",'Plan prihoda za unos u SAP'!$K$3:$K$501,"=722")</f>
        <v>0</v>
      </c>
      <c r="H31" s="187">
        <f>SUMIFS('Plan prihoda za unos u SAP'!$G$3:$G$501,'Plan prihoda za unos u SAP'!$C$3:$C$501,"=41",'Plan prihoda za unos u SAP'!$K$3:$K$501,"=722")</f>
        <v>0</v>
      </c>
      <c r="I31" s="187">
        <f>SUMIFS('Plan prihoda za unos u SAP'!$G$3:$G$501,'Plan prihoda za unos u SAP'!$C$3:$C$501,"=43",'Plan prihoda za unos u SAP'!$K$3:$K$501,"=722")</f>
        <v>0</v>
      </c>
      <c r="J31" s="187">
        <f>SUMIFS('Plan prihoda za unos u SAP'!$G$3:$G$501,'Plan prihoda za unos u SAP'!$C$3:$C$501,"=51",'Plan prihoda za unos u SAP'!$K$3:$K$501,"=722")</f>
        <v>0</v>
      </c>
      <c r="K31" s="187">
        <f>SUMIFS('Plan prihoda za unos u SAP'!$G$3:$G$501,'Plan prihoda za unos u SAP'!$C$3:$C$501,"=52",'Plan prihoda za unos u SAP'!$K$3:$K$501,"=722")</f>
        <v>0</v>
      </c>
      <c r="L31" s="187">
        <f>SUMIFS('Plan prihoda za unos u SAP'!$G$3:$G$501,'Plan prihoda za unos u SAP'!$C$3:$C$501,"=552",'Plan prihoda za unos u SAP'!$K$3:$K$501,"=722")</f>
        <v>0</v>
      </c>
      <c r="M31" s="187">
        <f>SUMIFS('Plan prihoda za unos u SAP'!$G$3:$G$501,'Plan prihoda za unos u SAP'!$C$3:$C$501,"=559",'Plan prihoda za unos u SAP'!$K$3:$K$501,"=722")</f>
        <v>0</v>
      </c>
      <c r="N31" s="187">
        <f>SUMIFS('Plan prihoda za unos u SAP'!$G$3:$G$501,'Plan prihoda za unos u SAP'!$C$3:$C$501,"=561",'Plan prihoda za unos u SAP'!$K$3:$K$501,"=722")</f>
        <v>0</v>
      </c>
      <c r="O31" s="187">
        <f>SUMIFS('Plan prihoda za unos u SAP'!$G$3:$G$501,'Plan prihoda za unos u SAP'!$C$3:$C$501,"=563",'Plan prihoda za unos u SAP'!$K$3:$K$501,"=722")</f>
        <v>0</v>
      </c>
      <c r="P31" s="187">
        <f>SUMIFS('Plan prihoda za unos u SAP'!$G$3:$G$501,'Plan prihoda za unos u SAP'!$C$3:$C$501,"=573",'Plan prihoda za unos u SAP'!$K$3:$K$501,"=722")</f>
        <v>0</v>
      </c>
      <c r="Q31" s="187">
        <f>SUMIFS('Plan prihoda za unos u SAP'!$G$3:$G$501,'Plan prihoda za unos u SAP'!$C$3:$C$501,"=575",'Plan prihoda za unos u SAP'!$K$3:$K$501,"=722")</f>
        <v>0</v>
      </c>
      <c r="R31" s="187">
        <f>SUMIFS('Plan prihoda za unos u SAP'!$G$3:$G$501,'Plan prihoda za unos u SAP'!$C$3:$C$501,"=576",'Plan prihoda za unos u SAP'!$K$3:$K$501,"=722")</f>
        <v>0</v>
      </c>
      <c r="S31" s="187">
        <f>SUMIFS('Plan prihoda za unos u SAP'!$G$3:$G$501,'Plan prihoda za unos u SAP'!$C$3:$C$501,"=61",'Plan prihoda za unos u SAP'!$K$3:$K$501,"=722")</f>
        <v>0</v>
      </c>
      <c r="T31" s="187">
        <f>SUMIFS('Plan prihoda za unos u SAP'!$G$3:$G$501,'Plan prihoda za unos u SAP'!$C$3:$C$501,"=63",'Plan prihoda za unos u SAP'!$K$3:$K$501,"=722")</f>
        <v>0</v>
      </c>
      <c r="U31" s="187">
        <f>SUMIFS('Plan prihoda za unos u SAP'!$G$3:$G$501,'Plan prihoda za unos u SAP'!$C$3:$C$501,"=71",'Plan prihoda za unos u SAP'!$K$3:$K$501,"=722")</f>
        <v>0</v>
      </c>
      <c r="V31" s="187">
        <f>SUMIFS('Plan prihoda za unos u SAP'!$G$3:$G$501,'Plan prihoda za unos u SAP'!$C$3:$C$501,"=81",'Plan prihoda za unos u SAP'!$K$3:$K$501,"=722")</f>
        <v>0</v>
      </c>
      <c r="W31" s="187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2164</v>
      </c>
      <c r="C32" s="100" t="s">
        <v>2165</v>
      </c>
      <c r="D32" s="70">
        <f t="shared" si="1"/>
        <v>0</v>
      </c>
      <c r="E32" s="187">
        <f>SUMIFS('Plan prihoda za unos u SAP'!$G$3:$G$501,'Plan prihoda za unos u SAP'!$C$3:$C$501,"=11",'Plan prihoda za unos u SAP'!$K$3:$K$501,"=723")</f>
        <v>0</v>
      </c>
      <c r="F32" s="187">
        <f>SUMIFS('Plan prihoda za unos u SAP'!$G$3:$G$501,'Plan prihoda za unos u SAP'!$C$3:$C$501,"=12",'Plan prihoda za unos u SAP'!$K$3:$K$501,"=723")</f>
        <v>0</v>
      </c>
      <c r="G32" s="187">
        <f>SUMIFS('Plan prihoda za unos u SAP'!$G$3:$G$501,'Plan prihoda za unos u SAP'!$C$3:$C$501,"=31",'Plan prihoda za unos u SAP'!$K$3:$K$501,"=723")</f>
        <v>0</v>
      </c>
      <c r="H32" s="187">
        <f>SUMIFS('Plan prihoda za unos u SAP'!$G$3:$G$501,'Plan prihoda za unos u SAP'!$C$3:$C$501,"=41",'Plan prihoda za unos u SAP'!$K$3:$K$501,"=723")</f>
        <v>0</v>
      </c>
      <c r="I32" s="187">
        <f>SUMIFS('Plan prihoda za unos u SAP'!$G$3:$G$501,'Plan prihoda za unos u SAP'!$C$3:$C$501,"=43",'Plan prihoda za unos u SAP'!$K$3:$K$501,"=723")</f>
        <v>0</v>
      </c>
      <c r="J32" s="187">
        <f>SUMIFS('Plan prihoda za unos u SAP'!$G$3:$G$501,'Plan prihoda za unos u SAP'!$C$3:$C$501,"=51",'Plan prihoda za unos u SAP'!$K$3:$K$501,"=723")</f>
        <v>0</v>
      </c>
      <c r="K32" s="187">
        <f>SUMIFS('Plan prihoda za unos u SAP'!$G$3:$G$501,'Plan prihoda za unos u SAP'!$C$3:$C$501,"=52",'Plan prihoda za unos u SAP'!$K$3:$K$501,"=723")</f>
        <v>0</v>
      </c>
      <c r="L32" s="187">
        <f>SUMIFS('Plan prihoda za unos u SAP'!$G$3:$G$501,'Plan prihoda za unos u SAP'!$C$3:$C$501,"=552",'Plan prihoda za unos u SAP'!$K$3:$K$501,"=723")</f>
        <v>0</v>
      </c>
      <c r="M32" s="187">
        <f>SUMIFS('Plan prihoda za unos u SAP'!$G$3:$G$501,'Plan prihoda za unos u SAP'!$C$3:$C$501,"=559",'Plan prihoda za unos u SAP'!$K$3:$K$501,"=723")</f>
        <v>0</v>
      </c>
      <c r="N32" s="187">
        <f>SUMIFS('Plan prihoda za unos u SAP'!$G$3:$G$501,'Plan prihoda za unos u SAP'!$C$3:$C$501,"=561",'Plan prihoda za unos u SAP'!$K$3:$K$501,"=723")</f>
        <v>0</v>
      </c>
      <c r="O32" s="187">
        <f>SUMIFS('Plan prihoda za unos u SAP'!$G$3:$G$501,'Plan prihoda za unos u SAP'!$C$3:$C$501,"=563",'Plan prihoda za unos u SAP'!$K$3:$K$501,"=723")</f>
        <v>0</v>
      </c>
      <c r="P32" s="187">
        <f>SUMIFS('Plan prihoda za unos u SAP'!$G$3:$G$501,'Plan prihoda za unos u SAP'!$C$3:$C$501,"=573",'Plan prihoda za unos u SAP'!$K$3:$K$501,"=723")</f>
        <v>0</v>
      </c>
      <c r="Q32" s="187">
        <f>SUMIFS('Plan prihoda za unos u SAP'!$G$3:$G$501,'Plan prihoda za unos u SAP'!$C$3:$C$501,"=575",'Plan prihoda za unos u SAP'!$K$3:$K$501,"=723")</f>
        <v>0</v>
      </c>
      <c r="R32" s="187">
        <f>SUMIFS('Plan prihoda za unos u SAP'!$G$3:$G$501,'Plan prihoda za unos u SAP'!$C$3:$C$501,"=576",'Plan prihoda za unos u SAP'!$K$3:$K$501,"=723")</f>
        <v>0</v>
      </c>
      <c r="S32" s="187">
        <f>SUMIFS('Plan prihoda za unos u SAP'!$G$3:$G$501,'Plan prihoda za unos u SAP'!$C$3:$C$501,"=61",'Plan prihoda za unos u SAP'!$K$3:$K$501,"=723")</f>
        <v>0</v>
      </c>
      <c r="T32" s="187">
        <f>SUMIFS('Plan prihoda za unos u SAP'!$G$3:$G$501,'Plan prihoda za unos u SAP'!$C$3:$C$501,"=63",'Plan prihoda za unos u SAP'!$K$3:$K$501,"=723")</f>
        <v>0</v>
      </c>
      <c r="U32" s="187">
        <f>SUMIFS('Plan prihoda za unos u SAP'!$G$3:$G$501,'Plan prihoda za unos u SAP'!$C$3:$C$501,"=71",'Plan prihoda za unos u SAP'!$K$3:$K$501,"=723")</f>
        <v>0</v>
      </c>
      <c r="V32" s="187">
        <f>SUMIFS('Plan prihoda za unos u SAP'!$G$3:$G$501,'Plan prihoda za unos u SAP'!$C$3:$C$501,"=81",'Plan prihoda za unos u SAP'!$K$3:$K$501,"=723")</f>
        <v>0</v>
      </c>
      <c r="W32" s="187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2166</v>
      </c>
      <c r="C33" s="100" t="s">
        <v>2167</v>
      </c>
      <c r="D33" s="70">
        <f t="shared" si="1"/>
        <v>0</v>
      </c>
      <c r="E33" s="187">
        <f>SUMIFS('Plan prihoda za unos u SAP'!$G$3:$G$501,'Plan prihoda za unos u SAP'!$C$3:$C$501,"=11",'Plan prihoda za unos u SAP'!$K$3:$K$501,"=725")</f>
        <v>0</v>
      </c>
      <c r="F33" s="187">
        <f>SUMIFS('Plan prihoda za unos u SAP'!$G$3:$G$501,'Plan prihoda za unos u SAP'!$C$3:$C$501,"=12",'Plan prihoda za unos u SAP'!$K$3:$K$501,"=725")</f>
        <v>0</v>
      </c>
      <c r="G33" s="187">
        <f>SUMIFS('Plan prihoda za unos u SAP'!$G$3:$G$501,'Plan prihoda za unos u SAP'!$C$3:$C$501,"=31",'Plan prihoda za unos u SAP'!$K$3:$K$501,"=725")</f>
        <v>0</v>
      </c>
      <c r="H33" s="187">
        <f>SUMIFS('Plan prihoda za unos u SAP'!$G$3:$G$501,'Plan prihoda za unos u SAP'!$C$3:$C$501,"=41",'Plan prihoda za unos u SAP'!$K$3:$K$501,"=725")</f>
        <v>0</v>
      </c>
      <c r="I33" s="187">
        <f>SUMIFS('Plan prihoda za unos u SAP'!$G$3:$G$501,'Plan prihoda za unos u SAP'!$C$3:$C$501,"=43",'Plan prihoda za unos u SAP'!$K$3:$K$501,"=725")</f>
        <v>0</v>
      </c>
      <c r="J33" s="187">
        <f>SUMIFS('Plan prihoda za unos u SAP'!$G$3:$G$501,'Plan prihoda za unos u SAP'!$C$3:$C$501,"=51",'Plan prihoda za unos u SAP'!$K$3:$K$501,"=725")</f>
        <v>0</v>
      </c>
      <c r="K33" s="187">
        <f>SUMIFS('Plan prihoda za unos u SAP'!$G$3:$G$501,'Plan prihoda za unos u SAP'!$C$3:$C$501,"=52",'Plan prihoda za unos u SAP'!$K$3:$K$501,"=725")</f>
        <v>0</v>
      </c>
      <c r="L33" s="187">
        <f>SUMIFS('Plan prihoda za unos u SAP'!$G$3:$G$501,'Plan prihoda za unos u SAP'!$C$3:$C$501,"=552",'Plan prihoda za unos u SAP'!$K$3:$K$501,"=725")</f>
        <v>0</v>
      </c>
      <c r="M33" s="187">
        <f>SUMIFS('Plan prihoda za unos u SAP'!$G$3:$G$501,'Plan prihoda za unos u SAP'!$C$3:$C$501,"=559",'Plan prihoda za unos u SAP'!$K$3:$K$501,"=725")</f>
        <v>0</v>
      </c>
      <c r="N33" s="187">
        <f>SUMIFS('Plan prihoda za unos u SAP'!$G$3:$G$501,'Plan prihoda za unos u SAP'!$C$3:$C$501,"=561",'Plan prihoda za unos u SAP'!$K$3:$K$501,"=725")</f>
        <v>0</v>
      </c>
      <c r="O33" s="187">
        <f>SUMIFS('Plan prihoda za unos u SAP'!$G$3:$G$501,'Plan prihoda za unos u SAP'!$C$3:$C$501,"=563",'Plan prihoda za unos u SAP'!$K$3:$K$501,"=725")</f>
        <v>0</v>
      </c>
      <c r="P33" s="187">
        <f>SUMIFS('Plan prihoda za unos u SAP'!$G$3:$G$501,'Plan prihoda za unos u SAP'!$C$3:$C$501,"=573",'Plan prihoda za unos u SAP'!$K$3:$K$501,"=725")</f>
        <v>0</v>
      </c>
      <c r="Q33" s="187">
        <f>SUMIFS('Plan prihoda za unos u SAP'!$G$3:$G$501,'Plan prihoda za unos u SAP'!$C$3:$C$501,"=575",'Plan prihoda za unos u SAP'!$K$3:$K$501,"=725")</f>
        <v>0</v>
      </c>
      <c r="R33" s="187">
        <f>SUMIFS('Plan prihoda za unos u SAP'!$G$3:$G$501,'Plan prihoda za unos u SAP'!$C$3:$C$501,"=576",'Plan prihoda za unos u SAP'!$K$3:$K$501,"=725")</f>
        <v>0</v>
      </c>
      <c r="S33" s="187">
        <f>SUMIFS('Plan prihoda za unos u SAP'!$G$3:$G$501,'Plan prihoda za unos u SAP'!$C$3:$C$501,"=61",'Plan prihoda za unos u SAP'!$K$3:$K$501,"=725")</f>
        <v>0</v>
      </c>
      <c r="T33" s="187">
        <f>SUMIFS('Plan prihoda za unos u SAP'!$G$3:$G$501,'Plan prihoda za unos u SAP'!$C$3:$C$501,"=63",'Plan prihoda za unos u SAP'!$K$3:$K$501,"=725")</f>
        <v>0</v>
      </c>
      <c r="U33" s="187">
        <f>SUMIFS('Plan prihoda za unos u SAP'!$G$3:$G$501,'Plan prihoda za unos u SAP'!$C$3:$C$501,"=71",'Plan prihoda za unos u SAP'!$K$3:$K$501,"=725")</f>
        <v>0</v>
      </c>
      <c r="V33" s="187">
        <f>SUMIFS('Plan prihoda za unos u SAP'!$G$3:$G$501,'Plan prihoda za unos u SAP'!$C$3:$C$501,"=81",'Plan prihoda za unos u SAP'!$K$3:$K$501,"=725")</f>
        <v>0</v>
      </c>
      <c r="W33" s="187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2168</v>
      </c>
      <c r="C34" s="99" t="s">
        <v>2155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2169</v>
      </c>
      <c r="D35" s="70">
        <f t="shared" si="1"/>
        <v>0</v>
      </c>
      <c r="E35" s="187">
        <f>SUMIFS('Plan prihoda za unos u SAP'!$G$3:$G$501,'Plan prihoda za unos u SAP'!$C$3:$C$501,"=11",'Plan prihoda za unos u SAP'!$K$3:$K$501,"=812")</f>
        <v>0</v>
      </c>
      <c r="F35" s="187">
        <f>SUMIFS('Plan prihoda za unos u SAP'!$G$3:$G$501,'Plan prihoda za unos u SAP'!$C$3:$C$501,"=12",'Plan prihoda za unos u SAP'!$K$3:$K$501,"=812")</f>
        <v>0</v>
      </c>
      <c r="G35" s="187">
        <f>SUMIFS('Plan prihoda za unos u SAP'!$G$3:$G$501,'Plan prihoda za unos u SAP'!$C$3:$C$501,"=31",'Plan prihoda za unos u SAP'!$K$3:$K$501,"=812")</f>
        <v>0</v>
      </c>
      <c r="H35" s="187">
        <f>SUMIFS('Plan prihoda za unos u SAP'!$G$3:$G$501,'Plan prihoda za unos u SAP'!$C$3:$C$501,"=41",'Plan prihoda za unos u SAP'!$K$3:$K$501,"=812")</f>
        <v>0</v>
      </c>
      <c r="I35" s="187">
        <f>SUMIFS('Plan prihoda za unos u SAP'!$G$3:$G$501,'Plan prihoda za unos u SAP'!$C$3:$C$501,"=43",'Plan prihoda za unos u SAP'!$K$3:$K$501,"=812")</f>
        <v>0</v>
      </c>
      <c r="J35" s="187">
        <f>SUMIFS('Plan prihoda za unos u SAP'!$G$3:$G$501,'Plan prihoda za unos u SAP'!$C$3:$C$501,"=51",'Plan prihoda za unos u SAP'!$K$3:$K$501,"=812")</f>
        <v>0</v>
      </c>
      <c r="K35" s="187">
        <f>SUMIFS('Plan prihoda za unos u SAP'!$G$3:$G$501,'Plan prihoda za unos u SAP'!$C$3:$C$501,"=52",'Plan prihoda za unos u SAP'!$K$3:$K$501,"=812")</f>
        <v>0</v>
      </c>
      <c r="L35" s="187">
        <f>SUMIFS('Plan prihoda za unos u SAP'!$G$3:$G$501,'Plan prihoda za unos u SAP'!$C$3:$C$501,"=552",'Plan prihoda za unos u SAP'!$K$3:$K$501,"=812")</f>
        <v>0</v>
      </c>
      <c r="M35" s="187">
        <f>SUMIFS('Plan prihoda za unos u SAP'!$G$3:$G$501,'Plan prihoda za unos u SAP'!$C$3:$C$501,"=559",'Plan prihoda za unos u SAP'!$K$3:$K$501,"=812")</f>
        <v>0</v>
      </c>
      <c r="N35" s="187">
        <f>SUMIFS('Plan prihoda za unos u SAP'!$G$3:$G$501,'Plan prihoda za unos u SAP'!$C$3:$C$501,"=561",'Plan prihoda za unos u SAP'!$K$3:$K$501,"=812")</f>
        <v>0</v>
      </c>
      <c r="O35" s="187">
        <f>SUMIFS('Plan prihoda za unos u SAP'!$G$3:$G$501,'Plan prihoda za unos u SAP'!$C$3:$C$501,"=563",'Plan prihoda za unos u SAP'!$K$3:$K$501,"=812")</f>
        <v>0</v>
      </c>
      <c r="P35" s="187">
        <f>SUMIFS('Plan prihoda za unos u SAP'!$G$3:$G$501,'Plan prihoda za unos u SAP'!$C$3:$C$501,"=573",'Plan prihoda za unos u SAP'!$K$3:$K$501,"=812")</f>
        <v>0</v>
      </c>
      <c r="Q35" s="187">
        <f>SUMIFS('Plan prihoda za unos u SAP'!$G$3:$G$501,'Plan prihoda za unos u SAP'!$C$3:$C$501,"=575",'Plan prihoda za unos u SAP'!$K$3:$K$501,"=812")</f>
        <v>0</v>
      </c>
      <c r="R35" s="187">
        <f>SUMIFS('Plan prihoda za unos u SAP'!$G$3:$G$501,'Plan prihoda za unos u SAP'!$C$3:$C$501,"=576",'Plan prihoda za unos u SAP'!$K$3:$K$501,"=812")</f>
        <v>0</v>
      </c>
      <c r="S35" s="187">
        <f>SUMIFS('Plan prihoda za unos u SAP'!$G$3:$G$501,'Plan prihoda za unos u SAP'!$C$3:$C$501,"=61",'Plan prihoda za unos u SAP'!$K$3:$K$501,"=812")</f>
        <v>0</v>
      </c>
      <c r="T35" s="187">
        <f>SUMIFS('Plan prihoda za unos u SAP'!$G$3:$G$501,'Plan prihoda za unos u SAP'!$C$3:$C$501,"=63",'Plan prihoda za unos u SAP'!$K$3:$K$501,"=812")</f>
        <v>0</v>
      </c>
      <c r="U35" s="187">
        <f>SUMIFS('Plan prihoda za unos u SAP'!$G$3:$G$501,'Plan prihoda za unos u SAP'!$C$3:$C$501,"=71",'Plan prihoda za unos u SAP'!$K$3:$K$501,"=812")</f>
        <v>0</v>
      </c>
      <c r="V35" s="187">
        <f>SUMIFS('Plan prihoda za unos u SAP'!$G$3:$G$501,'Plan prihoda za unos u SAP'!$C$3:$C$501,"=81",'Plan prihoda za unos u SAP'!$K$3:$K$501,"=812")</f>
        <v>0</v>
      </c>
      <c r="W35" s="187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2170</v>
      </c>
      <c r="D36" s="70">
        <f t="shared" si="1"/>
        <v>0</v>
      </c>
      <c r="E36" s="187">
        <f>SUMIFS('Plan prihoda za unos u SAP'!$G$3:$G$501,'Plan prihoda za unos u SAP'!$C$3:$C$501,"=11",'Plan prihoda za unos u SAP'!$K$3:$K$501,"=818")</f>
        <v>0</v>
      </c>
      <c r="F36" s="187">
        <f>SUMIFS('Plan prihoda za unos u SAP'!$G$3:$G$501,'Plan prihoda za unos u SAP'!$C$3:$C$501,"=12",'Plan prihoda za unos u SAP'!$K$3:$K$501,"=818")</f>
        <v>0</v>
      </c>
      <c r="G36" s="187">
        <f>SUMIFS('Plan prihoda za unos u SAP'!$G$3:$G$501,'Plan prihoda za unos u SAP'!$C$3:$C$501,"=31",'Plan prihoda za unos u SAP'!$K$3:$K$501,"=818")</f>
        <v>0</v>
      </c>
      <c r="H36" s="187">
        <f>SUMIFS('Plan prihoda za unos u SAP'!$G$3:$G$501,'Plan prihoda za unos u SAP'!$C$3:$C$501,"=41",'Plan prihoda za unos u SAP'!$K$3:$K$501,"=818")</f>
        <v>0</v>
      </c>
      <c r="I36" s="187">
        <f>SUMIFS('Plan prihoda za unos u SAP'!$G$3:$G$501,'Plan prihoda za unos u SAP'!$C$3:$C$501,"=43",'Plan prihoda za unos u SAP'!$K$3:$K$501,"=818")</f>
        <v>0</v>
      </c>
      <c r="J36" s="187">
        <f>SUMIFS('Plan prihoda za unos u SAP'!$G$3:$G$501,'Plan prihoda za unos u SAP'!$C$3:$C$501,"=51",'Plan prihoda za unos u SAP'!$K$3:$K$501,"=818")</f>
        <v>0</v>
      </c>
      <c r="K36" s="187">
        <f>SUMIFS('Plan prihoda za unos u SAP'!$G$3:$G$501,'Plan prihoda za unos u SAP'!$C$3:$C$501,"=52",'Plan prihoda za unos u SAP'!$K$3:$K$501,"=818")</f>
        <v>0</v>
      </c>
      <c r="L36" s="187">
        <f>SUMIFS('Plan prihoda za unos u SAP'!$G$3:$G$501,'Plan prihoda za unos u SAP'!$C$3:$C$501,"=552",'Plan prihoda za unos u SAP'!$K$3:$K$501,"=818")</f>
        <v>0</v>
      </c>
      <c r="M36" s="187">
        <f>SUMIFS('Plan prihoda za unos u SAP'!$G$3:$G$501,'Plan prihoda za unos u SAP'!$C$3:$C$501,"=559",'Plan prihoda za unos u SAP'!$K$3:$K$501,"=818")</f>
        <v>0</v>
      </c>
      <c r="N36" s="187">
        <f>SUMIFS('Plan prihoda za unos u SAP'!$G$3:$G$501,'Plan prihoda za unos u SAP'!$C$3:$C$501,"=561",'Plan prihoda za unos u SAP'!$K$3:$K$501,"=818")</f>
        <v>0</v>
      </c>
      <c r="O36" s="187">
        <f>SUMIFS('Plan prihoda za unos u SAP'!$G$3:$G$501,'Plan prihoda za unos u SAP'!$C$3:$C$501,"=563",'Plan prihoda za unos u SAP'!$K$3:$K$501,"=818")</f>
        <v>0</v>
      </c>
      <c r="P36" s="187">
        <f>SUMIFS('Plan prihoda za unos u SAP'!$G$3:$G$501,'Plan prihoda za unos u SAP'!$C$3:$C$501,"=573",'Plan prihoda za unos u SAP'!$K$3:$K$501,"=818")</f>
        <v>0</v>
      </c>
      <c r="Q36" s="187">
        <f>SUMIFS('Plan prihoda za unos u SAP'!$G$3:$G$501,'Plan prihoda za unos u SAP'!$C$3:$C$501,"=575",'Plan prihoda za unos u SAP'!$K$3:$K$501,"=818")</f>
        <v>0</v>
      </c>
      <c r="R36" s="187">
        <f>SUMIFS('Plan prihoda za unos u SAP'!$G$3:$G$501,'Plan prihoda za unos u SAP'!$C$3:$C$501,"=576",'Plan prihoda za unos u SAP'!$K$3:$K$501,"=818")</f>
        <v>0</v>
      </c>
      <c r="S36" s="187">
        <f>SUMIFS('Plan prihoda za unos u SAP'!$G$3:$G$501,'Plan prihoda za unos u SAP'!$C$3:$C$501,"=61",'Plan prihoda za unos u SAP'!$K$3:$K$501,"=818")</f>
        <v>0</v>
      </c>
      <c r="T36" s="187">
        <f>SUMIFS('Plan prihoda za unos u SAP'!$G$3:$G$501,'Plan prihoda za unos u SAP'!$C$3:$C$501,"=63",'Plan prihoda za unos u SAP'!$K$3:$K$501,"=818")</f>
        <v>0</v>
      </c>
      <c r="U36" s="187">
        <f>SUMIFS('Plan prihoda za unos u SAP'!$G$3:$G$501,'Plan prihoda za unos u SAP'!$C$3:$C$501,"=71",'Plan prihoda za unos u SAP'!$K$3:$K$501,"=818")</f>
        <v>0</v>
      </c>
      <c r="V36" s="187">
        <f>SUMIFS('Plan prihoda za unos u SAP'!$G$3:$G$501,'Plan prihoda za unos u SAP'!$C$3:$C$501,"=81",'Plan prihoda za unos u SAP'!$K$3:$K$501,"=818")</f>
        <v>0</v>
      </c>
      <c r="W36" s="187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2171</v>
      </c>
      <c r="D37" s="70">
        <f t="shared" si="1"/>
        <v>0</v>
      </c>
      <c r="E37" s="187">
        <f>SUMIFS('Plan prihoda za unos u SAP'!$G$3:$G$501,'Plan prihoda za unos u SAP'!$C$3:$C$501,"=11",'Plan prihoda za unos u SAP'!$K$3:$K$501,"=832")</f>
        <v>0</v>
      </c>
      <c r="F37" s="187">
        <f>SUMIFS('Plan prihoda za unos u SAP'!$G$3:$G$501,'Plan prihoda za unos u SAP'!$C$3:$C$501,"=12",'Plan prihoda za unos u SAP'!$K$3:$K$501,"=832")</f>
        <v>0</v>
      </c>
      <c r="G37" s="187">
        <f>SUMIFS('Plan prihoda za unos u SAP'!$G$3:$G$501,'Plan prihoda za unos u SAP'!$C$3:$C$501,"=31",'Plan prihoda za unos u SAP'!$K$3:$K$501,"=832")</f>
        <v>0</v>
      </c>
      <c r="H37" s="187">
        <f>SUMIFS('Plan prihoda za unos u SAP'!$G$3:$G$501,'Plan prihoda za unos u SAP'!$C$3:$C$501,"=41",'Plan prihoda za unos u SAP'!$K$3:$K$501,"=832")</f>
        <v>0</v>
      </c>
      <c r="I37" s="187">
        <f>SUMIFS('Plan prihoda za unos u SAP'!$G$3:$G$501,'Plan prihoda za unos u SAP'!$C$3:$C$501,"=43",'Plan prihoda za unos u SAP'!$K$3:$K$501,"=832")</f>
        <v>0</v>
      </c>
      <c r="J37" s="187">
        <f>SUMIFS('Plan prihoda za unos u SAP'!$G$3:$G$501,'Plan prihoda za unos u SAP'!$C$3:$C$501,"=51",'Plan prihoda za unos u SAP'!$K$3:$K$501,"=832")</f>
        <v>0</v>
      </c>
      <c r="K37" s="187">
        <f>SUMIFS('Plan prihoda za unos u SAP'!$G$3:$G$501,'Plan prihoda za unos u SAP'!$C$3:$C$501,"=52",'Plan prihoda za unos u SAP'!$K$3:$K$501,"=832")</f>
        <v>0</v>
      </c>
      <c r="L37" s="187">
        <f>SUMIFS('Plan prihoda za unos u SAP'!$G$3:$G$501,'Plan prihoda za unos u SAP'!$C$3:$C$501,"=552",'Plan prihoda za unos u SAP'!$K$3:$K$501,"=832")</f>
        <v>0</v>
      </c>
      <c r="M37" s="187">
        <f>SUMIFS('Plan prihoda za unos u SAP'!$G$3:$G$501,'Plan prihoda za unos u SAP'!$C$3:$C$501,"=559",'Plan prihoda za unos u SAP'!$K$3:$K$501,"=832")</f>
        <v>0</v>
      </c>
      <c r="N37" s="187">
        <f>SUMIFS('Plan prihoda za unos u SAP'!$G$3:$G$501,'Plan prihoda za unos u SAP'!$C$3:$C$501,"=561",'Plan prihoda za unos u SAP'!$K$3:$K$501,"=832")</f>
        <v>0</v>
      </c>
      <c r="O37" s="187">
        <f>SUMIFS('Plan prihoda za unos u SAP'!$G$3:$G$501,'Plan prihoda za unos u SAP'!$C$3:$C$501,"=563",'Plan prihoda za unos u SAP'!$K$3:$K$501,"=832")</f>
        <v>0</v>
      </c>
      <c r="P37" s="187">
        <f>SUMIFS('Plan prihoda za unos u SAP'!$G$3:$G$501,'Plan prihoda za unos u SAP'!$C$3:$C$501,"=573",'Plan prihoda za unos u SAP'!$K$3:$K$501,"=832")</f>
        <v>0</v>
      </c>
      <c r="Q37" s="187">
        <f>SUMIFS('Plan prihoda za unos u SAP'!$G$3:$G$501,'Plan prihoda za unos u SAP'!$C$3:$C$501,"=575",'Plan prihoda za unos u SAP'!$K$3:$K$501,"=832")</f>
        <v>0</v>
      </c>
      <c r="R37" s="187">
        <f>SUMIFS('Plan prihoda za unos u SAP'!$G$3:$G$501,'Plan prihoda za unos u SAP'!$C$3:$C$501,"=576",'Plan prihoda za unos u SAP'!$K$3:$K$501,"=832")</f>
        <v>0</v>
      </c>
      <c r="S37" s="187">
        <f>SUMIFS('Plan prihoda za unos u SAP'!$G$3:$G$501,'Plan prihoda za unos u SAP'!$C$3:$C$501,"=61",'Plan prihoda za unos u SAP'!$K$3:$K$501,"=832")</f>
        <v>0</v>
      </c>
      <c r="T37" s="187">
        <f>SUMIFS('Plan prihoda za unos u SAP'!$G$3:$G$501,'Plan prihoda za unos u SAP'!$C$3:$C$501,"=63",'Plan prihoda za unos u SAP'!$K$3:$K$501,"=832")</f>
        <v>0</v>
      </c>
      <c r="U37" s="187">
        <f>SUMIFS('Plan prihoda za unos u SAP'!$G$3:$G$501,'Plan prihoda za unos u SAP'!$C$3:$C$501,"=71",'Plan prihoda za unos u SAP'!$K$3:$K$501,"=832")</f>
        <v>0</v>
      </c>
      <c r="V37" s="187">
        <f>SUMIFS('Plan prihoda za unos u SAP'!$G$3:$G$501,'Plan prihoda za unos u SAP'!$C$3:$C$501,"=81",'Plan prihoda za unos u SAP'!$K$3:$K$501,"=832")</f>
        <v>0</v>
      </c>
      <c r="W37" s="187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3">
        <v>833</v>
      </c>
      <c r="C38" s="102" t="s">
        <v>2172</v>
      </c>
      <c r="D38" s="70">
        <f t="shared" ref="D38" si="7">SUM(E38:W38)</f>
        <v>0</v>
      </c>
      <c r="E38" s="187">
        <f>SUMIFS('Plan prihoda za unos u SAP'!$G$3:$G$501,'Plan prihoda za unos u SAP'!$C$3:$C$501,"=11",'Plan prihoda za unos u SAP'!$K$3:$K$501,"=833")</f>
        <v>0</v>
      </c>
      <c r="F38" s="187">
        <f>SUMIFS('Plan prihoda za unos u SAP'!$G$3:$G$501,'Plan prihoda za unos u SAP'!$C$3:$C$501,"=12",'Plan prihoda za unos u SAP'!$K$3:$K$501,"=833")</f>
        <v>0</v>
      </c>
      <c r="G38" s="187">
        <f>SUMIFS('Plan prihoda za unos u SAP'!$G$3:$G$501,'Plan prihoda za unos u SAP'!$C$3:$C$501,"=31",'Plan prihoda za unos u SAP'!$K$3:$K$501,"=833")</f>
        <v>0</v>
      </c>
      <c r="H38" s="187">
        <f>SUMIFS('Plan prihoda za unos u SAP'!$G$3:$G$501,'Plan prihoda za unos u SAP'!$C$3:$C$501,"=41",'Plan prihoda za unos u SAP'!$K$3:$K$501,"=833")</f>
        <v>0</v>
      </c>
      <c r="I38" s="187">
        <f>SUMIFS('Plan prihoda za unos u SAP'!$G$3:$G$501,'Plan prihoda za unos u SAP'!$C$3:$C$501,"=43",'Plan prihoda za unos u SAP'!$K$3:$K$501,"=833")</f>
        <v>0</v>
      </c>
      <c r="J38" s="187">
        <f>SUMIFS('Plan prihoda za unos u SAP'!$G$3:$G$501,'Plan prihoda za unos u SAP'!$C$3:$C$501,"=51",'Plan prihoda za unos u SAP'!$K$3:$K$501,"=833")</f>
        <v>0</v>
      </c>
      <c r="K38" s="187">
        <f>SUMIFS('Plan prihoda za unos u SAP'!$G$3:$G$501,'Plan prihoda za unos u SAP'!$C$3:$C$501,"=52",'Plan prihoda za unos u SAP'!$K$3:$K$501,"=833")</f>
        <v>0</v>
      </c>
      <c r="L38" s="187">
        <f>SUMIFS('Plan prihoda za unos u SAP'!$G$3:$G$501,'Plan prihoda za unos u SAP'!$C$3:$C$501,"=552",'Plan prihoda za unos u SAP'!$K$3:$K$501,"=833")</f>
        <v>0</v>
      </c>
      <c r="M38" s="187">
        <f>SUMIFS('Plan prihoda za unos u SAP'!$G$3:$G$501,'Plan prihoda za unos u SAP'!$C$3:$C$501,"=559",'Plan prihoda za unos u SAP'!$K$3:$K$501,"=833")</f>
        <v>0</v>
      </c>
      <c r="N38" s="187">
        <f>SUMIFS('Plan prihoda za unos u SAP'!$G$3:$G$501,'Plan prihoda za unos u SAP'!$C$3:$C$501,"=561",'Plan prihoda za unos u SAP'!$K$3:$K$501,"=833")</f>
        <v>0</v>
      </c>
      <c r="O38" s="187">
        <f>SUMIFS('Plan prihoda za unos u SAP'!$G$3:$G$501,'Plan prihoda za unos u SAP'!$C$3:$C$501,"=563",'Plan prihoda za unos u SAP'!$K$3:$K$501,"=833")</f>
        <v>0</v>
      </c>
      <c r="P38" s="187">
        <f>SUMIFS('Plan prihoda za unos u SAP'!$G$3:$G$501,'Plan prihoda za unos u SAP'!$C$3:$C$501,"=573",'Plan prihoda za unos u SAP'!$K$3:$K$501,"=833")</f>
        <v>0</v>
      </c>
      <c r="Q38" s="187">
        <f>SUMIFS('Plan prihoda za unos u SAP'!$G$3:$G$501,'Plan prihoda za unos u SAP'!$C$3:$C$501,"=575",'Plan prihoda za unos u SAP'!$K$3:$K$501,"=833")</f>
        <v>0</v>
      </c>
      <c r="R38" s="187">
        <f>SUMIFS('Plan prihoda za unos u SAP'!$G$3:$G$501,'Plan prihoda za unos u SAP'!$C$3:$C$501,"=576",'Plan prihoda za unos u SAP'!$K$3:$K$501,"=833")</f>
        <v>0</v>
      </c>
      <c r="S38" s="187">
        <f>SUMIFS('Plan prihoda za unos u SAP'!$G$3:$G$501,'Plan prihoda za unos u SAP'!$C$3:$C$501,"=61",'Plan prihoda za unos u SAP'!$K$3:$K$501,"=833")</f>
        <v>0</v>
      </c>
      <c r="T38" s="187">
        <f>SUMIFS('Plan prihoda za unos u SAP'!$G$3:$G$501,'Plan prihoda za unos u SAP'!$C$3:$C$501,"=63",'Plan prihoda za unos u SAP'!$K$3:$K$501,"=833")</f>
        <v>0</v>
      </c>
      <c r="U38" s="187">
        <f>SUMIFS('Plan prihoda za unos u SAP'!$G$3:$G$501,'Plan prihoda za unos u SAP'!$C$3:$C$501,"=71",'Plan prihoda za unos u SAP'!$K$3:$K$501,"=833")</f>
        <v>0</v>
      </c>
      <c r="V38" s="187">
        <f>SUMIFS('Plan prihoda za unos u SAP'!$G$3:$G$501,'Plan prihoda za unos u SAP'!$C$3:$C$501,"=81",'Plan prihoda za unos u SAP'!$K$3:$K$501,"=833")</f>
        <v>0</v>
      </c>
      <c r="W38" s="187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2173</v>
      </c>
      <c r="D39" s="70">
        <f t="shared" si="1"/>
        <v>0</v>
      </c>
      <c r="E39" s="187">
        <f>SUMIFS('Plan prihoda za unos u SAP'!$G$3:$G$501,'Plan prihoda za unos u SAP'!$C$3:$C$501,"=11",'Plan prihoda za unos u SAP'!$K$3:$K$501,"=841")</f>
        <v>0</v>
      </c>
      <c r="F39" s="187">
        <f>SUMIFS('Plan prihoda za unos u SAP'!$G$3:$G$501,'Plan prihoda za unos u SAP'!$C$3:$C$501,"=12",'Plan prihoda za unos u SAP'!$K$3:$K$501,"=841")</f>
        <v>0</v>
      </c>
      <c r="G39" s="187">
        <f>SUMIFS('Plan prihoda za unos u SAP'!$G$3:$G$501,'Plan prihoda za unos u SAP'!$C$3:$C$501,"=31",'Plan prihoda za unos u SAP'!$K$3:$K$501,"=841")</f>
        <v>0</v>
      </c>
      <c r="H39" s="187">
        <f>SUMIFS('Plan prihoda za unos u SAP'!$G$3:$G$501,'Plan prihoda za unos u SAP'!$C$3:$C$501,"=41",'Plan prihoda za unos u SAP'!$K$3:$K$501,"=841")</f>
        <v>0</v>
      </c>
      <c r="I39" s="187">
        <f>SUMIFS('Plan prihoda za unos u SAP'!$G$3:$G$501,'Plan prihoda za unos u SAP'!$C$3:$C$501,"=43",'Plan prihoda za unos u SAP'!$K$3:$K$501,"=841")</f>
        <v>0</v>
      </c>
      <c r="J39" s="187">
        <f>SUMIFS('Plan prihoda za unos u SAP'!$G$3:$G$501,'Plan prihoda za unos u SAP'!$C$3:$C$501,"=51",'Plan prihoda za unos u SAP'!$K$3:$K$501,"=841")</f>
        <v>0</v>
      </c>
      <c r="K39" s="187">
        <f>SUMIFS('Plan prihoda za unos u SAP'!$G$3:$G$501,'Plan prihoda za unos u SAP'!$C$3:$C$501,"=52",'Plan prihoda za unos u SAP'!$K$3:$K$501,"=841")</f>
        <v>0</v>
      </c>
      <c r="L39" s="187">
        <f>SUMIFS('Plan prihoda za unos u SAP'!$G$3:$G$501,'Plan prihoda za unos u SAP'!$C$3:$C$501,"=552",'Plan prihoda za unos u SAP'!$K$3:$K$501,"=841")</f>
        <v>0</v>
      </c>
      <c r="M39" s="187">
        <f>SUMIFS('Plan prihoda za unos u SAP'!$G$3:$G$501,'Plan prihoda za unos u SAP'!$C$3:$C$501,"=559",'Plan prihoda za unos u SAP'!$K$3:$K$501,"=841")</f>
        <v>0</v>
      </c>
      <c r="N39" s="187">
        <f>SUMIFS('Plan prihoda za unos u SAP'!$G$3:$G$501,'Plan prihoda za unos u SAP'!$C$3:$C$501,"=561",'Plan prihoda za unos u SAP'!$K$3:$K$501,"=841")</f>
        <v>0</v>
      </c>
      <c r="O39" s="187">
        <f>SUMIFS('Plan prihoda za unos u SAP'!$G$3:$G$501,'Plan prihoda za unos u SAP'!$C$3:$C$501,"=563",'Plan prihoda za unos u SAP'!$K$3:$K$501,"=841")</f>
        <v>0</v>
      </c>
      <c r="P39" s="187">
        <f>SUMIFS('Plan prihoda za unos u SAP'!$G$3:$G$501,'Plan prihoda za unos u SAP'!$C$3:$C$501,"=573",'Plan prihoda za unos u SAP'!$K$3:$K$501,"=841")</f>
        <v>0</v>
      </c>
      <c r="Q39" s="187">
        <f>SUMIFS('Plan prihoda za unos u SAP'!$G$3:$G$501,'Plan prihoda za unos u SAP'!$C$3:$C$501,"=575",'Plan prihoda za unos u SAP'!$K$3:$K$501,"=841")</f>
        <v>0</v>
      </c>
      <c r="R39" s="187">
        <f>SUMIFS('Plan prihoda za unos u SAP'!$G$3:$G$501,'Plan prihoda za unos u SAP'!$C$3:$C$501,"=576",'Plan prihoda za unos u SAP'!$K$3:$K$501,"=841")</f>
        <v>0</v>
      </c>
      <c r="S39" s="187">
        <f>SUMIFS('Plan prihoda za unos u SAP'!$G$3:$G$501,'Plan prihoda za unos u SAP'!$C$3:$C$501,"=61",'Plan prihoda za unos u SAP'!$K$3:$K$501,"=841")</f>
        <v>0</v>
      </c>
      <c r="T39" s="187">
        <f>SUMIFS('Plan prihoda za unos u SAP'!$G$3:$G$501,'Plan prihoda za unos u SAP'!$C$3:$C$501,"=63",'Plan prihoda za unos u SAP'!$K$3:$K$501,"=841")</f>
        <v>0</v>
      </c>
      <c r="U39" s="187">
        <f>SUMIFS('Plan prihoda za unos u SAP'!$G$3:$G$501,'Plan prihoda za unos u SAP'!$C$3:$C$501,"=71",'Plan prihoda za unos u SAP'!$K$3:$K$501,"=841")</f>
        <v>0</v>
      </c>
      <c r="V39" s="187">
        <f>SUMIFS('Plan prihoda za unos u SAP'!$G$3:$G$501,'Plan prihoda za unos u SAP'!$C$3:$C$501,"=81",'Plan prihoda za unos u SAP'!$K$3:$K$501,"=841")</f>
        <v>0</v>
      </c>
      <c r="W39" s="187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2174</v>
      </c>
      <c r="D40" s="70">
        <f>SUM(E40:W40)</f>
        <v>0</v>
      </c>
      <c r="E40" s="187">
        <f>SUMIFS('Plan prihoda za unos u SAP'!$G$3:$G$501,'Plan prihoda za unos u SAP'!$C$3:$C$501,"=11",'Plan prihoda za unos u SAP'!$K$3:$K$501,"=842")</f>
        <v>0</v>
      </c>
      <c r="F40" s="187">
        <f>SUMIFS('Plan prihoda za unos u SAP'!$G$3:$G$501,'Plan prihoda za unos u SAP'!$C$3:$C$501,"=12",'Plan prihoda za unos u SAP'!$K$3:$K$501,"=842")</f>
        <v>0</v>
      </c>
      <c r="G40" s="187">
        <f>SUMIFS('Plan prihoda za unos u SAP'!$G$3:$G$501,'Plan prihoda za unos u SAP'!$C$3:$C$501,"=31",'Plan prihoda za unos u SAP'!$K$3:$K$501,"=842")</f>
        <v>0</v>
      </c>
      <c r="H40" s="187">
        <f>SUMIFS('Plan prihoda za unos u SAP'!$G$3:$G$501,'Plan prihoda za unos u SAP'!$C$3:$C$501,"=41",'Plan prihoda za unos u SAP'!$K$3:$K$501,"=842")</f>
        <v>0</v>
      </c>
      <c r="I40" s="187">
        <f>SUMIFS('Plan prihoda za unos u SAP'!$G$3:$G$501,'Plan prihoda za unos u SAP'!$C$3:$C$501,"=43",'Plan prihoda za unos u SAP'!$K$3:$K$501,"=842")</f>
        <v>0</v>
      </c>
      <c r="J40" s="187">
        <f>SUMIFS('Plan prihoda za unos u SAP'!$G$3:$G$501,'Plan prihoda za unos u SAP'!$C$3:$C$501,"=51",'Plan prihoda za unos u SAP'!$K$3:$K$501,"=842")</f>
        <v>0</v>
      </c>
      <c r="K40" s="187">
        <f>SUMIFS('Plan prihoda za unos u SAP'!$G$3:$G$501,'Plan prihoda za unos u SAP'!$C$3:$C$501,"=52",'Plan prihoda za unos u SAP'!$K$3:$K$501,"=842")</f>
        <v>0</v>
      </c>
      <c r="L40" s="187">
        <f>SUMIFS('Plan prihoda za unos u SAP'!$G$3:$G$501,'Plan prihoda za unos u SAP'!$C$3:$C$501,"=552",'Plan prihoda za unos u SAP'!$K$3:$K$501,"=842")</f>
        <v>0</v>
      </c>
      <c r="M40" s="187">
        <f>SUMIFS('Plan prihoda za unos u SAP'!$G$3:$G$501,'Plan prihoda za unos u SAP'!$C$3:$C$501,"=559",'Plan prihoda za unos u SAP'!$K$3:$K$501,"=842")</f>
        <v>0</v>
      </c>
      <c r="N40" s="187">
        <f>SUMIFS('Plan prihoda za unos u SAP'!$G$3:$G$501,'Plan prihoda za unos u SAP'!$C$3:$C$501,"=561",'Plan prihoda za unos u SAP'!$K$3:$K$501,"=842")</f>
        <v>0</v>
      </c>
      <c r="O40" s="187">
        <f>SUMIFS('Plan prihoda za unos u SAP'!$G$3:$G$501,'Plan prihoda za unos u SAP'!$C$3:$C$501,"=563",'Plan prihoda za unos u SAP'!$K$3:$K$501,"=842")</f>
        <v>0</v>
      </c>
      <c r="P40" s="187">
        <f>SUMIFS('Plan prihoda za unos u SAP'!$G$3:$G$501,'Plan prihoda za unos u SAP'!$C$3:$C$501,"=573",'Plan prihoda za unos u SAP'!$K$3:$K$501,"=842")</f>
        <v>0</v>
      </c>
      <c r="Q40" s="187">
        <f>SUMIFS('Plan prihoda za unos u SAP'!$G$3:$G$501,'Plan prihoda za unos u SAP'!$C$3:$C$501,"=575",'Plan prihoda za unos u SAP'!$K$3:$K$501,"=842")</f>
        <v>0</v>
      </c>
      <c r="R40" s="187">
        <f>SUMIFS('Plan prihoda za unos u SAP'!$G$3:$G$501,'Plan prihoda za unos u SAP'!$C$3:$C$501,"=576",'Plan prihoda za unos u SAP'!$K$3:$K$501,"=842")</f>
        <v>0</v>
      </c>
      <c r="S40" s="187">
        <f>SUMIFS('Plan prihoda za unos u SAP'!$G$3:$G$501,'Plan prihoda za unos u SAP'!$C$3:$C$501,"=61",'Plan prihoda za unos u SAP'!$K$3:$K$501,"=842")</f>
        <v>0</v>
      </c>
      <c r="T40" s="187">
        <f>SUMIFS('Plan prihoda za unos u SAP'!$G$3:$G$501,'Plan prihoda za unos u SAP'!$C$3:$C$501,"=63",'Plan prihoda za unos u SAP'!$K$3:$K$501,"=842")</f>
        <v>0</v>
      </c>
      <c r="U40" s="187">
        <f>SUMIFS('Plan prihoda za unos u SAP'!$G$3:$G$501,'Plan prihoda za unos u SAP'!$C$3:$C$501,"=71",'Plan prihoda za unos u SAP'!$K$3:$K$501,"=842")</f>
        <v>0</v>
      </c>
      <c r="V40" s="187">
        <f>SUMIFS('Plan prihoda za unos u SAP'!$G$3:$G$501,'Plan prihoda za unos u SAP'!$C$3:$C$501,"=81",'Plan prihoda za unos u SAP'!$K$3:$K$501,"=842")</f>
        <v>0</v>
      </c>
      <c r="W40" s="187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2175</v>
      </c>
      <c r="C41" s="99" t="s">
        <v>2155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8" t="s">
        <v>2176</v>
      </c>
      <c r="C42" s="298"/>
      <c r="D42" s="70">
        <f>SUM(E42:W42)</f>
        <v>22909614</v>
      </c>
      <c r="E42" s="71">
        <f>+E41+E34+E27</f>
        <v>16743890</v>
      </c>
      <c r="F42" s="71">
        <f t="shared" ref="F42:U42" si="9">+F41+F34+F27</f>
        <v>0</v>
      </c>
      <c r="G42" s="71">
        <f t="shared" si="9"/>
        <v>1910000</v>
      </c>
      <c r="H42" s="71">
        <f>+H41+H34+H27</f>
        <v>0</v>
      </c>
      <c r="I42" s="71">
        <f t="shared" si="9"/>
        <v>3405320</v>
      </c>
      <c r="J42" s="71">
        <f t="shared" si="9"/>
        <v>437300</v>
      </c>
      <c r="K42" s="71">
        <f t="shared" si="9"/>
        <v>275604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137500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3" t="s">
        <v>2093</v>
      </c>
      <c r="C44" s="294"/>
      <c r="D44" s="295" t="s">
        <v>2177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4"/>
    </row>
    <row r="45" spans="1:29" s="90" customFormat="1" ht="89.25">
      <c r="A45" s="92" t="s">
        <v>2095</v>
      </c>
      <c r="B45" s="92" t="s">
        <v>2096</v>
      </c>
      <c r="C45" s="92" t="s">
        <v>2097</v>
      </c>
      <c r="D45" s="277" t="s">
        <v>2098</v>
      </c>
      <c r="E45" s="215" t="s">
        <v>2099</v>
      </c>
      <c r="F45" s="215" t="s">
        <v>2100</v>
      </c>
      <c r="G45" s="216" t="s">
        <v>2101</v>
      </c>
      <c r="H45" s="216" t="s">
        <v>2102</v>
      </c>
      <c r="I45" s="216" t="s">
        <v>2103</v>
      </c>
      <c r="J45" s="216" t="s">
        <v>2104</v>
      </c>
      <c r="K45" s="216" t="s">
        <v>2105</v>
      </c>
      <c r="L45" s="216" t="s">
        <v>2106</v>
      </c>
      <c r="M45" s="216" t="s">
        <v>2107</v>
      </c>
      <c r="N45" s="216" t="s">
        <v>2108</v>
      </c>
      <c r="O45" s="216" t="s">
        <v>2109</v>
      </c>
      <c r="P45" s="216" t="s">
        <v>2110</v>
      </c>
      <c r="Q45" s="216" t="s">
        <v>2111</v>
      </c>
      <c r="R45" s="216" t="s">
        <v>2112</v>
      </c>
      <c r="S45" s="216" t="s">
        <v>2113</v>
      </c>
      <c r="T45" s="93" t="s">
        <v>2114</v>
      </c>
      <c r="U45" s="93" t="s">
        <v>2115</v>
      </c>
      <c r="V45" s="93" t="s">
        <v>2116</v>
      </c>
      <c r="W45" s="93"/>
    </row>
    <row r="46" spans="1:29" s="90" customFormat="1">
      <c r="A46" s="90">
        <v>2022</v>
      </c>
      <c r="B46" s="95"/>
      <c r="C46" s="96" t="s">
        <v>98</v>
      </c>
      <c r="D46" s="70">
        <f>SUM(E46:W46)</f>
        <v>1293300</v>
      </c>
      <c r="E46" s="186">
        <f t="shared" ref="E46:W46" si="10">-E7</f>
        <v>0</v>
      </c>
      <c r="F46" s="186">
        <f t="shared" si="10"/>
        <v>0</v>
      </c>
      <c r="G46" s="186">
        <f t="shared" si="10"/>
        <v>400000</v>
      </c>
      <c r="H46" s="186">
        <f t="shared" si="10"/>
        <v>0</v>
      </c>
      <c r="I46" s="186">
        <f t="shared" si="10"/>
        <v>400000</v>
      </c>
      <c r="J46" s="186">
        <f t="shared" si="10"/>
        <v>493300</v>
      </c>
      <c r="K46" s="186">
        <f t="shared" si="10"/>
        <v>0</v>
      </c>
      <c r="L46" s="186">
        <f t="shared" si="10"/>
        <v>0</v>
      </c>
      <c r="M46" s="186">
        <f t="shared" si="10"/>
        <v>0</v>
      </c>
      <c r="N46" s="186">
        <f t="shared" si="10"/>
        <v>0</v>
      </c>
      <c r="O46" s="186">
        <f t="shared" si="10"/>
        <v>0</v>
      </c>
      <c r="P46" s="186">
        <f t="shared" si="10"/>
        <v>0</v>
      </c>
      <c r="Q46" s="186">
        <f t="shared" si="10"/>
        <v>0</v>
      </c>
      <c r="R46" s="186">
        <f t="shared" ref="R46" si="11">-R7</f>
        <v>0</v>
      </c>
      <c r="S46" s="186">
        <f t="shared" si="10"/>
        <v>0</v>
      </c>
      <c r="T46" s="186">
        <f t="shared" si="10"/>
        <v>0</v>
      </c>
      <c r="U46" s="186">
        <f t="shared" si="10"/>
        <v>0</v>
      </c>
      <c r="V46" s="186">
        <f t="shared" si="10"/>
        <v>0</v>
      </c>
      <c r="W46" s="186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2118</v>
      </c>
      <c r="D47" s="70">
        <f t="shared" ref="D47:D80" si="12">SUM(E47:W47)</f>
        <v>23326100</v>
      </c>
      <c r="E47" s="14">
        <f t="shared" ref="E47:V47" si="13">+E68+E75</f>
        <v>17221670</v>
      </c>
      <c r="F47" s="14">
        <f t="shared" si="13"/>
        <v>0</v>
      </c>
      <c r="G47" s="14">
        <f t="shared" si="13"/>
        <v>2050000</v>
      </c>
      <c r="H47" s="14">
        <f>+H68+H75</f>
        <v>0</v>
      </c>
      <c r="I47" s="14">
        <f t="shared" si="13"/>
        <v>3387700</v>
      </c>
      <c r="J47" s="14">
        <f t="shared" si="13"/>
        <v>378300</v>
      </c>
      <c r="K47" s="14">
        <f t="shared" si="13"/>
        <v>265930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22500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2119</v>
      </c>
      <c r="D48" s="70">
        <f>SUM(E48:W48)</f>
        <v>-623500</v>
      </c>
      <c r="E48" s="113"/>
      <c r="F48" s="113"/>
      <c r="G48" s="113">
        <v>-300000</v>
      </c>
      <c r="H48" s="113"/>
      <c r="I48" s="113">
        <v>-26900</v>
      </c>
      <c r="J48" s="113">
        <v>-296600</v>
      </c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2120</v>
      </c>
      <c r="D49" s="70">
        <f t="shared" si="12"/>
        <v>23995900</v>
      </c>
      <c r="E49" s="14">
        <f>+E46+E47+E48</f>
        <v>17221670</v>
      </c>
      <c r="F49" s="14">
        <f t="shared" ref="F49:V49" si="14">+F46+F47+F48</f>
        <v>0</v>
      </c>
      <c r="G49" s="14">
        <f t="shared" si="14"/>
        <v>2150000</v>
      </c>
      <c r="H49" s="14">
        <f>+H46+H47+H48</f>
        <v>0</v>
      </c>
      <c r="I49" s="14">
        <f t="shared" si="14"/>
        <v>3760800</v>
      </c>
      <c r="J49" s="14">
        <f t="shared" si="14"/>
        <v>575000</v>
      </c>
      <c r="K49" s="14">
        <f t="shared" si="14"/>
        <v>265930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22500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2121</v>
      </c>
      <c r="D50" s="70">
        <f t="shared" si="12"/>
        <v>23995900</v>
      </c>
      <c r="E50" s="136">
        <f>+'PLAN RASHODA I IZDATAKA'!E71</f>
        <v>17221670</v>
      </c>
      <c r="F50" s="136">
        <f>+'PLAN RASHODA I IZDATAKA'!F71</f>
        <v>0</v>
      </c>
      <c r="G50" s="136">
        <f>+'PLAN RASHODA I IZDATAKA'!G71</f>
        <v>2150000</v>
      </c>
      <c r="H50" s="136">
        <f>+'PLAN RASHODA I IZDATAKA'!H71</f>
        <v>0</v>
      </c>
      <c r="I50" s="136">
        <f>+'PLAN RASHODA I IZDATAKA'!I71</f>
        <v>3760800</v>
      </c>
      <c r="J50" s="136">
        <f>+'PLAN RASHODA I IZDATAKA'!J71</f>
        <v>575000</v>
      </c>
      <c r="K50" s="136">
        <f>+'PLAN RASHODA I IZDATAKA'!K71</f>
        <v>265930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22500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2122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2123</v>
      </c>
      <c r="C52" s="110" t="s">
        <v>2124</v>
      </c>
      <c r="D52" s="70">
        <f>SUM(E52:W52)</f>
        <v>0</v>
      </c>
      <c r="E52" s="187">
        <f>SUMIFS('Plan prihoda za unos u SAP'!$H$3:$H$501,'Plan prihoda za unos u SAP'!$C$3:$C$501,"=11",'Plan prihoda za unos u SAP'!$K$3:$K$501,"=614")</f>
        <v>0</v>
      </c>
      <c r="F52" s="187">
        <f>SUMIFS('Plan prihoda za unos u SAP'!$H$3:$H$501,'Plan prihoda za unos u SAP'!$C$3:$C$501,"=12",'Plan prihoda za unos u SAP'!$K$3:$K$501,"=614")</f>
        <v>0</v>
      </c>
      <c r="G52" s="187">
        <f>SUMIFS('Plan prihoda za unos u SAP'!$H$3:$H$501,'Plan prihoda za unos u SAP'!$C$3:$C$501,"=31",'Plan prihoda za unos u SAP'!$K$3:$K$501,"=614")</f>
        <v>0</v>
      </c>
      <c r="H52" s="187">
        <f>SUMIFS('Plan prihoda za unos u SAP'!$H$3:$H$501,'Plan prihoda za unos u SAP'!$C$3:$C$501,"=41",'Plan prihoda za unos u SAP'!$K$3:$K$501,"=614")</f>
        <v>0</v>
      </c>
      <c r="I52" s="187">
        <f>SUMIFS('Plan prihoda za unos u SAP'!$H$3:$H$501,'Plan prihoda za unos u SAP'!$C$3:$C$501,"=43",'Plan prihoda za unos u SAP'!$K$3:$K$501,"=614")</f>
        <v>0</v>
      </c>
      <c r="J52" s="187">
        <f>SUMIFS('Plan prihoda za unos u SAP'!$H$3:$H$501,'Plan prihoda za unos u SAP'!$C$3:$C$501,"=51",'Plan prihoda za unos u SAP'!$K$3:$K$501,"=614")</f>
        <v>0</v>
      </c>
      <c r="K52" s="187">
        <f>SUMIFS('Plan prihoda za unos u SAP'!$H$3:$H$501,'Plan prihoda za unos u SAP'!$C$3:$C$501,"=52",'Plan prihoda za unos u SAP'!$K$3:$K$501,"=614")</f>
        <v>0</v>
      </c>
      <c r="L52" s="187">
        <f>SUMIFS('Plan prihoda za unos u SAP'!$H$3:$H$501,'Plan prihoda za unos u SAP'!$C$3:$C$501,"=552",'Plan prihoda za unos u SAP'!$K$3:$K$501,"=614")</f>
        <v>0</v>
      </c>
      <c r="M52" s="187">
        <f>SUMIFS('Plan prihoda za unos u SAP'!$H$3:$H$501,'Plan prihoda za unos u SAP'!$C$3:$C$501,"=559",'Plan prihoda za unos u SAP'!$K$3:$K$501,"=614")</f>
        <v>0</v>
      </c>
      <c r="N52" s="187">
        <f>SUMIFS('Plan prihoda za unos u SAP'!$H$3:$H$501,'Plan prihoda za unos u SAP'!$C$3:$C$501,"=561",'Plan prihoda za unos u SAP'!$K$3:$K$501,"=614")</f>
        <v>0</v>
      </c>
      <c r="O52" s="187">
        <f>SUMIFS('Plan prihoda za unos u SAP'!$H$3:$H$501,'Plan prihoda za unos u SAP'!$C$3:$C$501,"=563",'Plan prihoda za unos u SAP'!$K$3:$K$501,"=614")</f>
        <v>0</v>
      </c>
      <c r="P52" s="187">
        <f>SUMIFS('Plan prihoda za unos u SAP'!$H$3:$H$501,'Plan prihoda za unos u SAP'!$C$3:$C$501,"=573",'Plan prihoda za unos u SAP'!$K$3:$K$501,"=614")</f>
        <v>0</v>
      </c>
      <c r="Q52" s="187">
        <f>SUMIFS('Plan prihoda za unos u SAP'!$H$3:$H$501,'Plan prihoda za unos u SAP'!$C$3:$C$501,"=575",'Plan prihoda za unos u SAP'!$K$3:$K$501,"=614")</f>
        <v>0</v>
      </c>
      <c r="R52" s="187">
        <f>SUMIFS('Plan prihoda za unos u SAP'!$H$3:$H$501,'Plan prihoda za unos u SAP'!$C$3:$C$501,"=576",'Plan prihoda za unos u SAP'!$K$3:$K$501,"=614")</f>
        <v>0</v>
      </c>
      <c r="S52" s="187">
        <f>SUMIFS('Plan prihoda za unos u SAP'!$H$3:$H$501,'Plan prihoda za unos u SAP'!$C$3:$C$501,"=61",'Plan prihoda za unos u SAP'!$K$3:$K$501,"=614")</f>
        <v>0</v>
      </c>
      <c r="T52" s="187">
        <f>SUMIFS('Plan prihoda za unos u SAP'!$H$3:$H$501,'Plan prihoda za unos u SAP'!$C$3:$C$501,"=63",'Plan prihoda za unos u SAP'!$K$3:$K$501,"=614")</f>
        <v>0</v>
      </c>
      <c r="U52" s="187">
        <f>SUMIFS('Plan prihoda za unos u SAP'!$H$3:$H$501,'Plan prihoda za unos u SAP'!$C$3:$C$501,"=71",'Plan prihoda za unos u SAP'!$K$3:$K$501,"=614")</f>
        <v>0</v>
      </c>
      <c r="V52" s="187">
        <f>SUMIFS('Plan prihoda za unos u SAP'!$H$3:$H$501,'Plan prihoda za unos u SAP'!$C$3:$C$501,"=81",'Plan prihoda za unos u SAP'!$K$3:$K$501,"=614")</f>
        <v>0</v>
      </c>
      <c r="W52" s="187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2125</v>
      </c>
      <c r="C53" s="96" t="s">
        <v>2126</v>
      </c>
      <c r="D53" s="70">
        <f t="shared" si="12"/>
        <v>0</v>
      </c>
      <c r="E53" s="187">
        <f>SUMIFS('Plan prihoda za unos u SAP'!$H$3:$H$501,'Plan prihoda za unos u SAP'!$C$3:$C$501,"=11",'Plan prihoda za unos u SAP'!$K$3:$K$501,"=631")</f>
        <v>0</v>
      </c>
      <c r="F53" s="187">
        <f>SUMIFS('Plan prihoda za unos u SAP'!$H$3:$H$501,'Plan prihoda za unos u SAP'!$C$3:$C$501,"=12",'Plan prihoda za unos u SAP'!$K$3:$K$501,"=631")</f>
        <v>0</v>
      </c>
      <c r="G53" s="187">
        <f>SUMIFS('Plan prihoda za unos u SAP'!$H$3:$H$501,'Plan prihoda za unos u SAP'!$C$3:$C$501,"=31",'Plan prihoda za unos u SAP'!$K$3:$K$501,"=631")</f>
        <v>0</v>
      </c>
      <c r="H53" s="187">
        <f>SUMIFS('Plan prihoda za unos u SAP'!$H$3:$H$501,'Plan prihoda za unos u SAP'!$C$3:$C$501,"=41",'Plan prihoda za unos u SAP'!$K$3:$K$501,"=631")</f>
        <v>0</v>
      </c>
      <c r="I53" s="187">
        <f>SUMIFS('Plan prihoda za unos u SAP'!$H$3:$H$501,'Plan prihoda za unos u SAP'!$C$3:$C$501,"=43",'Plan prihoda za unos u SAP'!$K$3:$K$501,"=631")</f>
        <v>0</v>
      </c>
      <c r="J53" s="187">
        <f>SUMIFS('Plan prihoda za unos u SAP'!$H$3:$H$501,'Plan prihoda za unos u SAP'!$C$3:$C$501,"=51",'Plan prihoda za unos u SAP'!$K$3:$K$501,"=631")</f>
        <v>0</v>
      </c>
      <c r="K53" s="187">
        <f>SUMIFS('Plan prihoda za unos u SAP'!$H$3:$H$501,'Plan prihoda za unos u SAP'!$C$3:$C$501,"=52",'Plan prihoda za unos u SAP'!$K$3:$K$501,"=631")</f>
        <v>0</v>
      </c>
      <c r="L53" s="187">
        <f>SUMIFS('Plan prihoda za unos u SAP'!$H$3:$H$501,'Plan prihoda za unos u SAP'!$C$3:$C$501,"=552",'Plan prihoda za unos u SAP'!$K$3:$K$501,"=631")</f>
        <v>0</v>
      </c>
      <c r="M53" s="187">
        <f>SUMIFS('Plan prihoda za unos u SAP'!$H$3:$H$501,'Plan prihoda za unos u SAP'!$C$3:$C$501,"=559",'Plan prihoda za unos u SAP'!$K$3:$K$501,"=631")</f>
        <v>0</v>
      </c>
      <c r="N53" s="187">
        <f>SUMIFS('Plan prihoda za unos u SAP'!$H$3:$H$501,'Plan prihoda za unos u SAP'!$C$3:$C$501,"=561",'Plan prihoda za unos u SAP'!$K$3:$K$501,"=631")</f>
        <v>0</v>
      </c>
      <c r="O53" s="187">
        <f>SUMIFS('Plan prihoda za unos u SAP'!$H$3:$H$501,'Plan prihoda za unos u SAP'!$C$3:$C$501,"=563",'Plan prihoda za unos u SAP'!$K$3:$K$501,"=631")</f>
        <v>0</v>
      </c>
      <c r="P53" s="187">
        <f>SUMIFS('Plan prihoda za unos u SAP'!$H$3:$H$501,'Plan prihoda za unos u SAP'!$C$3:$C$501,"=573",'Plan prihoda za unos u SAP'!$K$3:$K$501,"=631")</f>
        <v>0</v>
      </c>
      <c r="Q53" s="187">
        <f>SUMIFS('Plan prihoda za unos u SAP'!$H$3:$H$501,'Plan prihoda za unos u SAP'!$C$3:$C$501,"=575",'Plan prihoda za unos u SAP'!$K$3:$K$501,"=631")</f>
        <v>0</v>
      </c>
      <c r="R53" s="187">
        <f>SUMIFS('Plan prihoda za unos u SAP'!$H$3:$H$501,'Plan prihoda za unos u SAP'!$C$3:$C$501,"=576",'Plan prihoda za unos u SAP'!$K$3:$K$501,"=631")</f>
        <v>0</v>
      </c>
      <c r="S53" s="187">
        <f>SUMIFS('Plan prihoda za unos u SAP'!$H$3:$H$501,'Plan prihoda za unos u SAP'!$C$3:$C$501,"=61",'Plan prihoda za unos u SAP'!$K$3:$K$501,"=631")</f>
        <v>0</v>
      </c>
      <c r="T53" s="187">
        <f>SUMIFS('Plan prihoda za unos u SAP'!$H$3:$H$501,'Plan prihoda za unos u SAP'!$C$3:$C$501,"=63",'Plan prihoda za unos u SAP'!$K$3:$K$501,"=631")</f>
        <v>0</v>
      </c>
      <c r="U53" s="187">
        <f>SUMIFS('Plan prihoda za unos u SAP'!$H$3:$H$501,'Plan prihoda za unos u SAP'!$C$3:$C$501,"=71",'Plan prihoda za unos u SAP'!$K$3:$K$501,"=631")</f>
        <v>0</v>
      </c>
      <c r="V53" s="187">
        <f>SUMIFS('Plan prihoda za unos u SAP'!$H$3:$H$501,'Plan prihoda za unos u SAP'!$C$3:$C$501,"=81",'Plan prihoda za unos u SAP'!$K$3:$K$501,"=631")</f>
        <v>0</v>
      </c>
      <c r="W53" s="187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2127</v>
      </c>
      <c r="C54" s="96" t="s">
        <v>2128</v>
      </c>
      <c r="D54" s="70">
        <f t="shared" si="12"/>
        <v>378300</v>
      </c>
      <c r="E54" s="187">
        <f>SUMIFS('Plan prihoda za unos u SAP'!$H$3:$H$501,'Plan prihoda za unos u SAP'!$C$3:$C$501,"=11",'Plan prihoda za unos u SAP'!$K$3:$K$501,"=632")</f>
        <v>0</v>
      </c>
      <c r="F54" s="187">
        <f>SUMIFS('Plan prihoda za unos u SAP'!$H$3:$H$501,'Plan prihoda za unos u SAP'!$C$3:$C$501,"=12",'Plan prihoda za unos u SAP'!$K$3:$K$501,"=632")</f>
        <v>0</v>
      </c>
      <c r="G54" s="187">
        <f>SUMIFS('Plan prihoda za unos u SAP'!$H$3:$H$501,'Plan prihoda za unos u SAP'!$C$3:$C$501,"=31",'Plan prihoda za unos u SAP'!$K$3:$K$501,"=632")</f>
        <v>0</v>
      </c>
      <c r="H54" s="187">
        <f>SUMIFS('Plan prihoda za unos u SAP'!$H$3:$H$501,'Plan prihoda za unos u SAP'!$C$3:$C$501,"=41",'Plan prihoda za unos u SAP'!$K$3:$K$501,"=632")</f>
        <v>0</v>
      </c>
      <c r="I54" s="187">
        <f>SUMIFS('Plan prihoda za unos u SAP'!$H$3:$H$501,'Plan prihoda za unos u SAP'!$C$3:$C$501,"=43",'Plan prihoda za unos u SAP'!$K$3:$K$501,"=632")</f>
        <v>0</v>
      </c>
      <c r="J54" s="187">
        <f>SUMIFS('Plan prihoda za unos u SAP'!$H$3:$H$501,'Plan prihoda za unos u SAP'!$C$3:$C$501,"=51",'Plan prihoda za unos u SAP'!$K$3:$K$501,"=632")</f>
        <v>378300</v>
      </c>
      <c r="K54" s="187">
        <f>SUMIFS('Plan prihoda za unos u SAP'!$H$3:$H$501,'Plan prihoda za unos u SAP'!$C$3:$C$501,"=52",'Plan prihoda za unos u SAP'!$K$3:$K$501,"=632")</f>
        <v>0</v>
      </c>
      <c r="L54" s="187">
        <f>SUMIFS('Plan prihoda za unos u SAP'!$H$3:$H$501,'Plan prihoda za unos u SAP'!$C$3:$C$501,"=552",'Plan prihoda za unos u SAP'!$K$3:$K$501,"=632")</f>
        <v>0</v>
      </c>
      <c r="M54" s="187">
        <f>SUMIFS('Plan prihoda za unos u SAP'!$H$3:$H$501,'Plan prihoda za unos u SAP'!$C$3:$C$501,"=559",'Plan prihoda za unos u SAP'!$K$3:$K$501,"=632")</f>
        <v>0</v>
      </c>
      <c r="N54" s="187">
        <f>SUMIFS('Plan prihoda za unos u SAP'!$H$3:$H$501,'Plan prihoda za unos u SAP'!$C$3:$C$501,"=561",'Plan prihoda za unos u SAP'!$K$3:$K$501,"=632")</f>
        <v>0</v>
      </c>
      <c r="O54" s="187">
        <f>SUMIFS('Plan prihoda za unos u SAP'!$H$3:$H$501,'Plan prihoda za unos u SAP'!$C$3:$C$501,"=563",'Plan prihoda za unos u SAP'!$K$3:$K$501,"=632")</f>
        <v>0</v>
      </c>
      <c r="P54" s="187">
        <f>SUMIFS('Plan prihoda za unos u SAP'!$H$3:$H$501,'Plan prihoda za unos u SAP'!$C$3:$C$501,"=573",'Plan prihoda za unos u SAP'!$K$3:$K$501,"=632")</f>
        <v>0</v>
      </c>
      <c r="Q54" s="187">
        <f>SUMIFS('Plan prihoda za unos u SAP'!$H$3:$H$501,'Plan prihoda za unos u SAP'!$C$3:$C$501,"=575",'Plan prihoda za unos u SAP'!$K$3:$K$501,"=632")</f>
        <v>0</v>
      </c>
      <c r="R54" s="187">
        <f>SUMIFS('Plan prihoda za unos u SAP'!$H$3:$H$501,'Plan prihoda za unos u SAP'!$C$3:$C$501,"=576",'Plan prihoda za unos u SAP'!$K$3:$K$501,"=632")</f>
        <v>0</v>
      </c>
      <c r="S54" s="187">
        <f>SUMIFS('Plan prihoda za unos u SAP'!$H$3:$H$501,'Plan prihoda za unos u SAP'!$C$3:$C$501,"=61",'Plan prihoda za unos u SAP'!$K$3:$K$501,"=632")</f>
        <v>0</v>
      </c>
      <c r="T54" s="187">
        <f>SUMIFS('Plan prihoda za unos u SAP'!$H$3:$H$501,'Plan prihoda za unos u SAP'!$C$3:$C$501,"=63",'Plan prihoda za unos u SAP'!$K$3:$K$501,"=632")</f>
        <v>0</v>
      </c>
      <c r="U54" s="187">
        <f>SUMIFS('Plan prihoda za unos u SAP'!$H$3:$H$501,'Plan prihoda za unos u SAP'!$C$3:$C$501,"=71",'Plan prihoda za unos u SAP'!$K$3:$K$501,"=632")</f>
        <v>0</v>
      </c>
      <c r="V54" s="187">
        <f>SUMIFS('Plan prihoda za unos u SAP'!$H$3:$H$501,'Plan prihoda za unos u SAP'!$C$3:$C$501,"=81",'Plan prihoda za unos u SAP'!$K$3:$K$501,"=632")</f>
        <v>0</v>
      </c>
      <c r="W54" s="187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2129</v>
      </c>
      <c r="C55" s="96" t="s">
        <v>2130</v>
      </c>
      <c r="D55" s="70">
        <f t="shared" si="12"/>
        <v>0</v>
      </c>
      <c r="E55" s="187">
        <f>SUMIFS('Plan prihoda za unos u SAP'!$H$3:$H$501,'Plan prihoda za unos u SAP'!$C$3:$C$501,"=11",'Plan prihoda za unos u SAP'!$K$3:$K$501,"=634")</f>
        <v>0</v>
      </c>
      <c r="F55" s="187">
        <f>SUMIFS('Plan prihoda za unos u SAP'!$H$3:$H$501,'Plan prihoda za unos u SAP'!$C$3:$C$501,"=12",'Plan prihoda za unos u SAP'!$K$3:$K$501,"=634")</f>
        <v>0</v>
      </c>
      <c r="G55" s="187">
        <f>SUMIFS('Plan prihoda za unos u SAP'!$H$3:$H$501,'Plan prihoda za unos u SAP'!$C$3:$C$501,"=31",'Plan prihoda za unos u SAP'!$K$3:$K$501,"=634")</f>
        <v>0</v>
      </c>
      <c r="H55" s="187">
        <f>SUMIFS('Plan prihoda za unos u SAP'!$H$3:$H$501,'Plan prihoda za unos u SAP'!$C$3:$C$501,"=41",'Plan prihoda za unos u SAP'!$K$3:$K$501,"=634")</f>
        <v>0</v>
      </c>
      <c r="I55" s="187">
        <f>SUMIFS('Plan prihoda za unos u SAP'!$H$3:$H$501,'Plan prihoda za unos u SAP'!$C$3:$C$501,"=43",'Plan prihoda za unos u SAP'!$K$3:$K$501,"=634")</f>
        <v>0</v>
      </c>
      <c r="J55" s="187">
        <f>SUMIFS('Plan prihoda za unos u SAP'!$H$3:$H$501,'Plan prihoda za unos u SAP'!$C$3:$C$501,"=51",'Plan prihoda za unos u SAP'!$K$3:$K$501,"=634")</f>
        <v>0</v>
      </c>
      <c r="K55" s="187">
        <f>SUMIFS('Plan prihoda za unos u SAP'!$H$3:$H$501,'Plan prihoda za unos u SAP'!$C$3:$C$501,"=52",'Plan prihoda za unos u SAP'!$K$3:$K$501,"=634")</f>
        <v>0</v>
      </c>
      <c r="L55" s="187">
        <f>SUMIFS('Plan prihoda za unos u SAP'!$H$3:$H$501,'Plan prihoda za unos u SAP'!$C$3:$C$501,"=552",'Plan prihoda za unos u SAP'!$K$3:$K$501,"=634")</f>
        <v>0</v>
      </c>
      <c r="M55" s="187">
        <f>SUMIFS('Plan prihoda za unos u SAP'!$H$3:$H$501,'Plan prihoda za unos u SAP'!$C$3:$C$501,"=559",'Plan prihoda za unos u SAP'!$K$3:$K$501,"=634")</f>
        <v>0</v>
      </c>
      <c r="N55" s="187">
        <f>SUMIFS('Plan prihoda za unos u SAP'!$H$3:$H$501,'Plan prihoda za unos u SAP'!$C$3:$C$501,"=561",'Plan prihoda za unos u SAP'!$K$3:$K$501,"=634")</f>
        <v>0</v>
      </c>
      <c r="O55" s="187">
        <f>SUMIFS('Plan prihoda za unos u SAP'!$H$3:$H$501,'Plan prihoda za unos u SAP'!$C$3:$C$501,"=563",'Plan prihoda za unos u SAP'!$K$3:$K$501,"=634")</f>
        <v>0</v>
      </c>
      <c r="P55" s="187">
        <f>SUMIFS('Plan prihoda za unos u SAP'!$H$3:$H$501,'Plan prihoda za unos u SAP'!$C$3:$C$501,"=573",'Plan prihoda za unos u SAP'!$K$3:$K$501,"=634")</f>
        <v>0</v>
      </c>
      <c r="Q55" s="187">
        <f>SUMIFS('Plan prihoda za unos u SAP'!$H$3:$H$501,'Plan prihoda za unos u SAP'!$C$3:$C$501,"=575",'Plan prihoda za unos u SAP'!$K$3:$K$501,"=634")</f>
        <v>0</v>
      </c>
      <c r="R55" s="187">
        <f>SUMIFS('Plan prihoda za unos u SAP'!$H$3:$H$501,'Plan prihoda za unos u SAP'!$C$3:$C$501,"=576",'Plan prihoda za unos u SAP'!$K$3:$K$501,"=634")</f>
        <v>0</v>
      </c>
      <c r="S55" s="187">
        <f>SUMIFS('Plan prihoda za unos u SAP'!$H$3:$H$501,'Plan prihoda za unos u SAP'!$C$3:$C$501,"=61",'Plan prihoda za unos u SAP'!$K$3:$K$501,"=634")</f>
        <v>0</v>
      </c>
      <c r="T55" s="187">
        <f>SUMIFS('Plan prihoda za unos u SAP'!$H$3:$H$501,'Plan prihoda za unos u SAP'!$C$3:$C$501,"=63",'Plan prihoda za unos u SAP'!$K$3:$K$501,"=634")</f>
        <v>0</v>
      </c>
      <c r="U55" s="187">
        <f>SUMIFS('Plan prihoda za unos u SAP'!$H$3:$H$501,'Plan prihoda za unos u SAP'!$C$3:$C$501,"=71",'Plan prihoda za unos u SAP'!$K$3:$K$501,"=634")</f>
        <v>0</v>
      </c>
      <c r="V55" s="187">
        <f>SUMIFS('Plan prihoda za unos u SAP'!$H$3:$H$501,'Plan prihoda za unos u SAP'!$C$3:$C$501,"=81",'Plan prihoda za unos u SAP'!$K$3:$K$501,"=634")</f>
        <v>0</v>
      </c>
      <c r="W55" s="187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3" t="s">
        <v>2131</v>
      </c>
      <c r="C56" s="96" t="s">
        <v>2132</v>
      </c>
      <c r="D56" s="70">
        <f t="shared" si="12"/>
        <v>0</v>
      </c>
      <c r="E56" s="187">
        <f>SUMIFS('Plan prihoda za unos u SAP'!$H$3:$H$501,'Plan prihoda za unos u SAP'!$C$3:$C$501,"=11",'Plan prihoda za unos u SAP'!$K$3:$K$501,"=636")</f>
        <v>0</v>
      </c>
      <c r="F56" s="187">
        <f>SUMIFS('Plan prihoda za unos u SAP'!$H$3:$H$501,'Plan prihoda za unos u SAP'!$C$3:$C$501,"=12",'Plan prihoda za unos u SAP'!$K$3:$K$501,"=636")</f>
        <v>0</v>
      </c>
      <c r="G56" s="187">
        <f>SUMIFS('Plan prihoda za unos u SAP'!$H$3:$H$501,'Plan prihoda za unos u SAP'!$C$3:$C$501,"=31",'Plan prihoda za unos u SAP'!$K$3:$K$501,"=636")</f>
        <v>0</v>
      </c>
      <c r="H56" s="187">
        <f>SUMIFS('Plan prihoda za unos u SAP'!$H$3:$H$501,'Plan prihoda za unos u SAP'!$C$3:$C$501,"=41",'Plan prihoda za unos u SAP'!$K$3:$K$501,"=636")</f>
        <v>0</v>
      </c>
      <c r="I56" s="187">
        <f>SUMIFS('Plan prihoda za unos u SAP'!$H$3:$H$501,'Plan prihoda za unos u SAP'!$C$3:$C$501,"=43",'Plan prihoda za unos u SAP'!$K$3:$K$501,"=636")</f>
        <v>0</v>
      </c>
      <c r="J56" s="187">
        <f>SUMIFS('Plan prihoda za unos u SAP'!$H$3:$H$501,'Plan prihoda za unos u SAP'!$C$3:$C$501,"=51",'Plan prihoda za unos u SAP'!$K$3:$K$501,"=636")</f>
        <v>0</v>
      </c>
      <c r="K56" s="187">
        <f>SUMIFS('Plan prihoda za unos u SAP'!$H$3:$H$501,'Plan prihoda za unos u SAP'!$C$3:$C$501,"=52",'Plan prihoda za unos u SAP'!$K$3:$K$501,"=636")</f>
        <v>0</v>
      </c>
      <c r="L56" s="187">
        <f>SUMIFS('Plan prihoda za unos u SAP'!$H$3:$H$501,'Plan prihoda za unos u SAP'!$C$3:$C$501,"=552",'Plan prihoda za unos u SAP'!$K$3:$K$501,"=636")</f>
        <v>0</v>
      </c>
      <c r="M56" s="187">
        <f>SUMIFS('Plan prihoda za unos u SAP'!$H$3:$H$501,'Plan prihoda za unos u SAP'!$C$3:$C$501,"=559",'Plan prihoda za unos u SAP'!$K$3:$K$501,"=636")</f>
        <v>0</v>
      </c>
      <c r="N56" s="187">
        <f>SUMIFS('Plan prihoda za unos u SAP'!$H$3:$H$501,'Plan prihoda za unos u SAP'!$C$3:$C$501,"=561",'Plan prihoda za unos u SAP'!$K$3:$K$501,"=636")</f>
        <v>0</v>
      </c>
      <c r="O56" s="187">
        <f>SUMIFS('Plan prihoda za unos u SAP'!$H$3:$H$501,'Plan prihoda za unos u SAP'!$C$3:$C$501,"=563",'Plan prihoda za unos u SAP'!$K$3:$K$501,"=636")</f>
        <v>0</v>
      </c>
      <c r="P56" s="187">
        <f>SUMIFS('Plan prihoda za unos u SAP'!$H$3:$H$501,'Plan prihoda za unos u SAP'!$C$3:$C$501,"=573",'Plan prihoda za unos u SAP'!$K$3:$K$501,"=636")</f>
        <v>0</v>
      </c>
      <c r="Q56" s="187">
        <f>SUMIFS('Plan prihoda za unos u SAP'!$H$3:$H$501,'Plan prihoda za unos u SAP'!$C$3:$C$501,"=575",'Plan prihoda za unos u SAP'!$K$3:$K$501,"=636")</f>
        <v>0</v>
      </c>
      <c r="R56" s="187">
        <f>SUMIFS('Plan prihoda za unos u SAP'!$H$3:$H$501,'Plan prihoda za unos u SAP'!$C$3:$C$501,"=576",'Plan prihoda za unos u SAP'!$K$3:$K$501,"=636")</f>
        <v>0</v>
      </c>
      <c r="S56" s="187">
        <f>SUMIFS('Plan prihoda za unos u SAP'!$H$3:$H$501,'Plan prihoda za unos u SAP'!$C$3:$C$501,"=61",'Plan prihoda za unos u SAP'!$K$3:$K$501,"=636")</f>
        <v>0</v>
      </c>
      <c r="T56" s="187">
        <f>SUMIFS('Plan prihoda za unos u SAP'!$H$3:$H$501,'Plan prihoda za unos u SAP'!$C$3:$C$501,"=63",'Plan prihoda za unos u SAP'!$K$3:$K$501,"=636")</f>
        <v>0</v>
      </c>
      <c r="U56" s="187">
        <f>SUMIFS('Plan prihoda za unos u SAP'!$H$3:$H$501,'Plan prihoda za unos u SAP'!$C$3:$C$501,"=71",'Plan prihoda za unos u SAP'!$K$3:$K$501,"=636")</f>
        <v>0</v>
      </c>
      <c r="V56" s="187">
        <f>SUMIFS('Plan prihoda za unos u SAP'!$H$3:$H$501,'Plan prihoda za unos u SAP'!$C$3:$C$501,"=81",'Plan prihoda za unos u SAP'!$K$3:$K$501,"=636")</f>
        <v>0</v>
      </c>
      <c r="W56" s="187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2133</v>
      </c>
      <c r="C57" s="96" t="s">
        <v>2134</v>
      </c>
      <c r="D57" s="70">
        <f t="shared" si="12"/>
        <v>0</v>
      </c>
      <c r="E57" s="187">
        <f>SUMIFS('Plan prihoda za unos u SAP'!$H$3:$H$501,'Plan prihoda za unos u SAP'!$C$3:$C$501,"=11",'Plan prihoda za unos u SAP'!$K$3:$K$501,"=638")</f>
        <v>0</v>
      </c>
      <c r="F57" s="187">
        <f>SUMIFS('Plan prihoda za unos u SAP'!$H$3:$H$501,'Plan prihoda za unos u SAP'!$C$3:$C$501,"=12",'Plan prihoda za unos u SAP'!$K$3:$K$501,"=638")</f>
        <v>0</v>
      </c>
      <c r="G57" s="187">
        <f>SUMIFS('Plan prihoda za unos u SAP'!$H$3:$H$501,'Plan prihoda za unos u SAP'!$C$3:$C$501,"=31",'Plan prihoda za unos u SAP'!$K$3:$K$501,"=638")</f>
        <v>0</v>
      </c>
      <c r="H57" s="187">
        <f>SUMIFS('Plan prihoda za unos u SAP'!$H$3:$H$501,'Plan prihoda za unos u SAP'!$C$3:$C$501,"=41",'Plan prihoda za unos u SAP'!$K$3:$K$501,"=638")</f>
        <v>0</v>
      </c>
      <c r="I57" s="187">
        <f>SUMIFS('Plan prihoda za unos u SAP'!$H$3:$H$501,'Plan prihoda za unos u SAP'!$C$3:$C$501,"=43",'Plan prihoda za unos u SAP'!$K$3:$K$501,"=638")</f>
        <v>0</v>
      </c>
      <c r="J57" s="187">
        <f>SUMIFS('Plan prihoda za unos u SAP'!$H$3:$H$501,'Plan prihoda za unos u SAP'!$C$3:$C$501,"=51",'Plan prihoda za unos u SAP'!$K$3:$K$501,"=638")</f>
        <v>0</v>
      </c>
      <c r="K57" s="187">
        <f>SUMIFS('Plan prihoda za unos u SAP'!$H$3:$H$501,'Plan prihoda za unos u SAP'!$C$3:$C$501,"=52",'Plan prihoda za unos u SAP'!$K$3:$K$501,"=638")</f>
        <v>0</v>
      </c>
      <c r="L57" s="187">
        <f>SUMIFS('Plan prihoda za unos u SAP'!$H$3:$H$501,'Plan prihoda za unos u SAP'!$C$3:$C$501,"=552",'Plan prihoda za unos u SAP'!$K$3:$K$501,"=638")</f>
        <v>0</v>
      </c>
      <c r="M57" s="187">
        <f>SUMIFS('Plan prihoda za unos u SAP'!$H$3:$H$501,'Plan prihoda za unos u SAP'!$C$3:$C$501,"=559",'Plan prihoda za unos u SAP'!$K$3:$K$501,"=638")</f>
        <v>0</v>
      </c>
      <c r="N57" s="187">
        <f>SUMIFS('Plan prihoda za unos u SAP'!$H$3:$H$501,'Plan prihoda za unos u SAP'!$C$3:$C$501,"=561",'Plan prihoda za unos u SAP'!$K$3:$K$501,"=638")</f>
        <v>0</v>
      </c>
      <c r="O57" s="187">
        <f>SUMIFS('Plan prihoda za unos u SAP'!$H$3:$H$501,'Plan prihoda za unos u SAP'!$C$3:$C$501,"=563",'Plan prihoda za unos u SAP'!$K$3:$K$501,"=638")</f>
        <v>0</v>
      </c>
      <c r="P57" s="187">
        <f>SUMIFS('Plan prihoda za unos u SAP'!$H$3:$H$501,'Plan prihoda za unos u SAP'!$C$3:$C$501,"=573",'Plan prihoda za unos u SAP'!$K$3:$K$501,"=638")</f>
        <v>0</v>
      </c>
      <c r="Q57" s="187">
        <f>SUMIFS('Plan prihoda za unos u SAP'!$H$3:$H$501,'Plan prihoda za unos u SAP'!$C$3:$C$501,"=575",'Plan prihoda za unos u SAP'!$K$3:$K$501,"=638")</f>
        <v>0</v>
      </c>
      <c r="R57" s="187">
        <f>SUMIFS('Plan prihoda za unos u SAP'!$H$3:$H$501,'Plan prihoda za unos u SAP'!$C$3:$C$501,"=576",'Plan prihoda za unos u SAP'!$K$3:$K$501,"=638")</f>
        <v>0</v>
      </c>
      <c r="S57" s="187">
        <f>SUMIFS('Plan prihoda za unos u SAP'!$H$3:$H$501,'Plan prihoda za unos u SAP'!$C$3:$C$501,"=61",'Plan prihoda za unos u SAP'!$K$3:$K$501,"=638")</f>
        <v>0</v>
      </c>
      <c r="T57" s="187">
        <f>SUMIFS('Plan prihoda za unos u SAP'!$H$3:$H$501,'Plan prihoda za unos u SAP'!$C$3:$C$501,"=63",'Plan prihoda za unos u SAP'!$K$3:$K$501,"=638")</f>
        <v>0</v>
      </c>
      <c r="U57" s="187">
        <f>SUMIFS('Plan prihoda za unos u SAP'!$H$3:$H$501,'Plan prihoda za unos u SAP'!$C$3:$C$501,"=71",'Plan prihoda za unos u SAP'!$K$3:$K$501,"=638")</f>
        <v>0</v>
      </c>
      <c r="V57" s="187">
        <f>SUMIFS('Plan prihoda za unos u SAP'!$H$3:$H$501,'Plan prihoda za unos u SAP'!$C$3:$C$501,"=81",'Plan prihoda za unos u SAP'!$K$3:$K$501,"=638")</f>
        <v>0</v>
      </c>
      <c r="W57" s="187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2135</v>
      </c>
      <c r="C58" s="96" t="s">
        <v>2136</v>
      </c>
      <c r="D58" s="70">
        <f t="shared" si="12"/>
        <v>265930</v>
      </c>
      <c r="E58" s="187">
        <f>SUMIFS('Plan prihoda za unos u SAP'!$H$3:$H$501,'Plan prihoda za unos u SAP'!$C$3:$C$501,"=11",'Plan prihoda za unos u SAP'!$K$3:$K$501,"=639")</f>
        <v>0</v>
      </c>
      <c r="F58" s="187">
        <f>SUMIFS('Plan prihoda za unos u SAP'!$H$3:$H$501,'Plan prihoda za unos u SAP'!$C$3:$C$501,"=12",'Plan prihoda za unos u SAP'!$K$3:$K$501,"=639")</f>
        <v>0</v>
      </c>
      <c r="G58" s="187">
        <f>SUMIFS('Plan prihoda za unos u SAP'!$H$3:$H$501,'Plan prihoda za unos u SAP'!$C$3:$C$501,"=31",'Plan prihoda za unos u SAP'!$K$3:$K$501,"=639")</f>
        <v>0</v>
      </c>
      <c r="H58" s="187">
        <f>SUMIFS('Plan prihoda za unos u SAP'!$H$3:$H$501,'Plan prihoda za unos u SAP'!$C$3:$C$501,"=41",'Plan prihoda za unos u SAP'!$K$3:$K$501,"=639")</f>
        <v>0</v>
      </c>
      <c r="I58" s="187">
        <f>SUMIFS('Plan prihoda za unos u SAP'!$H$3:$H$501,'Plan prihoda za unos u SAP'!$C$3:$C$501,"=43",'Plan prihoda za unos u SAP'!$K$3:$K$501,"=639")</f>
        <v>0</v>
      </c>
      <c r="J58" s="187">
        <f>SUMIFS('Plan prihoda za unos u SAP'!$H$3:$H$501,'Plan prihoda za unos u SAP'!$C$3:$C$501,"=51",'Plan prihoda za unos u SAP'!$K$3:$K$501,"=639")</f>
        <v>0</v>
      </c>
      <c r="K58" s="187">
        <f>SUMIFS('Plan prihoda za unos u SAP'!$H$3:$H$501,'Plan prihoda za unos u SAP'!$C$3:$C$501,"=52",'Plan prihoda za unos u SAP'!$K$3:$K$501,"=639")</f>
        <v>265930</v>
      </c>
      <c r="L58" s="187">
        <f>SUMIFS('Plan prihoda za unos u SAP'!$H$3:$H$501,'Plan prihoda za unos u SAP'!$C$3:$C$501,"=552",'Plan prihoda za unos u SAP'!$K$3:$K$501,"=639")</f>
        <v>0</v>
      </c>
      <c r="M58" s="187">
        <f>SUMIFS('Plan prihoda za unos u SAP'!$H$3:$H$501,'Plan prihoda za unos u SAP'!$C$3:$C$501,"=559",'Plan prihoda za unos u SAP'!$K$3:$K$501,"=639")</f>
        <v>0</v>
      </c>
      <c r="N58" s="187">
        <f>SUMIFS('Plan prihoda za unos u SAP'!$H$3:$H$501,'Plan prihoda za unos u SAP'!$C$3:$C$501,"=561",'Plan prihoda za unos u SAP'!$K$3:$K$501,"=639")</f>
        <v>0</v>
      </c>
      <c r="O58" s="187">
        <f>SUMIFS('Plan prihoda za unos u SAP'!$H$3:$H$501,'Plan prihoda za unos u SAP'!$C$3:$C$501,"=563",'Plan prihoda za unos u SAP'!$K$3:$K$501,"=639")</f>
        <v>0</v>
      </c>
      <c r="P58" s="187">
        <f>SUMIFS('Plan prihoda za unos u SAP'!$H$3:$H$501,'Plan prihoda za unos u SAP'!$C$3:$C$501,"=573",'Plan prihoda za unos u SAP'!$K$3:$K$501,"=639")</f>
        <v>0</v>
      </c>
      <c r="Q58" s="187">
        <f>SUMIFS('Plan prihoda za unos u SAP'!$H$3:$H$501,'Plan prihoda za unos u SAP'!$C$3:$C$501,"=575",'Plan prihoda za unos u SAP'!$K$3:$K$501,"=639")</f>
        <v>0</v>
      </c>
      <c r="R58" s="187">
        <f>SUMIFS('Plan prihoda za unos u SAP'!$H$3:$H$501,'Plan prihoda za unos u SAP'!$C$3:$C$501,"=576",'Plan prihoda za unos u SAP'!$K$3:$K$501,"=639")</f>
        <v>0</v>
      </c>
      <c r="S58" s="187">
        <f>SUMIFS('Plan prihoda za unos u SAP'!$H$3:$H$501,'Plan prihoda za unos u SAP'!$C$3:$C$501,"=61",'Plan prihoda za unos u SAP'!$K$3:$K$501,"=639")</f>
        <v>0</v>
      </c>
      <c r="T58" s="187">
        <f>SUMIFS('Plan prihoda za unos u SAP'!$H$3:$H$501,'Plan prihoda za unos u SAP'!$C$3:$C$501,"=63",'Plan prihoda za unos u SAP'!$K$3:$K$501,"=639")</f>
        <v>0</v>
      </c>
      <c r="U58" s="187">
        <f>SUMIFS('Plan prihoda za unos u SAP'!$H$3:$H$501,'Plan prihoda za unos u SAP'!$C$3:$C$501,"=71",'Plan prihoda za unos u SAP'!$K$3:$K$501,"=639")</f>
        <v>0</v>
      </c>
      <c r="V58" s="187">
        <f>SUMIFS('Plan prihoda za unos u SAP'!$H$3:$H$501,'Plan prihoda za unos u SAP'!$C$3:$C$501,"=81",'Plan prihoda za unos u SAP'!$K$3:$K$501,"=639")</f>
        <v>0</v>
      </c>
      <c r="W58" s="187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2137</v>
      </c>
      <c r="C59" s="96" t="s">
        <v>2138</v>
      </c>
      <c r="D59" s="70">
        <f t="shared" si="12"/>
        <v>0</v>
      </c>
      <c r="E59" s="187">
        <f>SUMIFS('Plan prihoda za unos u SAP'!$H$3:$H$501,'Plan prihoda za unos u SAP'!$C$3:$C$501,"=11",'Plan prihoda za unos u SAP'!$K$3:$K$501,"=641")</f>
        <v>0</v>
      </c>
      <c r="F59" s="187">
        <f>SUMIFS('Plan prihoda za unos u SAP'!$H$3:$H$501,'Plan prihoda za unos u SAP'!$C$3:$C$501,"=12",'Plan prihoda za unos u SAP'!$K$3:$K$501,"=641")</f>
        <v>0</v>
      </c>
      <c r="G59" s="187">
        <f>SUMIFS('Plan prihoda za unos u SAP'!$H$3:$H$501,'Plan prihoda za unos u SAP'!$C$3:$C$501,"=31",'Plan prihoda za unos u SAP'!$K$3:$K$501,"=641")</f>
        <v>0</v>
      </c>
      <c r="H59" s="187">
        <f>SUMIFS('Plan prihoda za unos u SAP'!$H$3:$H$501,'Plan prihoda za unos u SAP'!$C$3:$C$501,"=41",'Plan prihoda za unos u SAP'!$K$3:$K$501,"=641")</f>
        <v>0</v>
      </c>
      <c r="I59" s="187">
        <f>SUMIFS('Plan prihoda za unos u SAP'!$H$3:$H$501,'Plan prihoda za unos u SAP'!$C$3:$C$501,"=43",'Plan prihoda za unos u SAP'!$K$3:$K$501,"=641")</f>
        <v>0</v>
      </c>
      <c r="J59" s="187">
        <f>SUMIFS('Plan prihoda za unos u SAP'!$H$3:$H$501,'Plan prihoda za unos u SAP'!$C$3:$C$501,"=51",'Plan prihoda za unos u SAP'!$K$3:$K$501,"=641")</f>
        <v>0</v>
      </c>
      <c r="K59" s="187">
        <f>SUMIFS('Plan prihoda za unos u SAP'!$H$3:$H$501,'Plan prihoda za unos u SAP'!$C$3:$C$501,"=52",'Plan prihoda za unos u SAP'!$K$3:$K$501,"=641")</f>
        <v>0</v>
      </c>
      <c r="L59" s="187">
        <f>SUMIFS('Plan prihoda za unos u SAP'!$H$3:$H$501,'Plan prihoda za unos u SAP'!$C$3:$C$501,"=552",'Plan prihoda za unos u SAP'!$K$3:$K$501,"=641")</f>
        <v>0</v>
      </c>
      <c r="M59" s="187">
        <f>SUMIFS('Plan prihoda za unos u SAP'!$H$3:$H$501,'Plan prihoda za unos u SAP'!$C$3:$C$501,"=559",'Plan prihoda za unos u SAP'!$K$3:$K$501,"=641")</f>
        <v>0</v>
      </c>
      <c r="N59" s="187">
        <f>SUMIFS('Plan prihoda za unos u SAP'!$H$3:$H$501,'Plan prihoda za unos u SAP'!$C$3:$C$501,"=561",'Plan prihoda za unos u SAP'!$K$3:$K$501,"=641")</f>
        <v>0</v>
      </c>
      <c r="O59" s="187">
        <f>SUMIFS('Plan prihoda za unos u SAP'!$H$3:$H$501,'Plan prihoda za unos u SAP'!$C$3:$C$501,"=563",'Plan prihoda za unos u SAP'!$K$3:$K$501,"=641")</f>
        <v>0</v>
      </c>
      <c r="P59" s="187">
        <f>SUMIFS('Plan prihoda za unos u SAP'!$H$3:$H$501,'Plan prihoda za unos u SAP'!$C$3:$C$501,"=573",'Plan prihoda za unos u SAP'!$K$3:$K$501,"=641")</f>
        <v>0</v>
      </c>
      <c r="Q59" s="187">
        <f>SUMIFS('Plan prihoda za unos u SAP'!$H$3:$H$501,'Plan prihoda za unos u SAP'!$C$3:$C$501,"=575",'Plan prihoda za unos u SAP'!$K$3:$K$501,"=641")</f>
        <v>0</v>
      </c>
      <c r="R59" s="187">
        <f>SUMIFS('Plan prihoda za unos u SAP'!$H$3:$H$501,'Plan prihoda za unos u SAP'!$C$3:$C$501,"=576",'Plan prihoda za unos u SAP'!$K$3:$K$501,"=641")</f>
        <v>0</v>
      </c>
      <c r="S59" s="187">
        <f>SUMIFS('Plan prihoda za unos u SAP'!$H$3:$H$501,'Plan prihoda za unos u SAP'!$C$3:$C$501,"=61",'Plan prihoda za unos u SAP'!$K$3:$K$501,"=641")</f>
        <v>0</v>
      </c>
      <c r="T59" s="187">
        <f>SUMIFS('Plan prihoda za unos u SAP'!$H$3:$H$501,'Plan prihoda za unos u SAP'!$C$3:$C$501,"=63",'Plan prihoda za unos u SAP'!$K$3:$K$501,"=641")</f>
        <v>0</v>
      </c>
      <c r="U59" s="187">
        <f>SUMIFS('Plan prihoda za unos u SAP'!$H$3:$H$501,'Plan prihoda za unos u SAP'!$C$3:$C$501,"=71",'Plan prihoda za unos u SAP'!$K$3:$K$501,"=641")</f>
        <v>0</v>
      </c>
      <c r="V59" s="187">
        <f>SUMIFS('Plan prihoda za unos u SAP'!$H$3:$H$501,'Plan prihoda za unos u SAP'!$C$3:$C$501,"=81",'Plan prihoda za unos u SAP'!$K$3:$K$501,"=641")</f>
        <v>0</v>
      </c>
      <c r="W59" s="187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2139</v>
      </c>
      <c r="C60" s="96" t="s">
        <v>2140</v>
      </c>
      <c r="D60" s="70">
        <f t="shared" si="12"/>
        <v>0</v>
      </c>
      <c r="E60" s="187">
        <f>SUMIFS('Plan prihoda za unos u SAP'!$H$3:$H$501,'Plan prihoda za unos u SAP'!$C$3:$C$501,"=11",'Plan prihoda za unos u SAP'!$K$3:$K$501,"=642")</f>
        <v>0</v>
      </c>
      <c r="F60" s="187">
        <f>SUMIFS('Plan prihoda za unos u SAP'!$H$3:$H$501,'Plan prihoda za unos u SAP'!$C$3:$C$501,"=12",'Plan prihoda za unos u SAP'!$K$3:$K$501,"=642")</f>
        <v>0</v>
      </c>
      <c r="G60" s="187">
        <f>SUMIFS('Plan prihoda za unos u SAP'!$H$3:$H$501,'Plan prihoda za unos u SAP'!$C$3:$C$501,"=31",'Plan prihoda za unos u SAP'!$K$3:$K$501,"=642")</f>
        <v>0</v>
      </c>
      <c r="H60" s="187">
        <f>SUMIFS('Plan prihoda za unos u SAP'!$H$3:$H$501,'Plan prihoda za unos u SAP'!$C$3:$C$501,"=41",'Plan prihoda za unos u SAP'!$K$3:$K$501,"=642")</f>
        <v>0</v>
      </c>
      <c r="I60" s="187">
        <f>SUMIFS('Plan prihoda za unos u SAP'!$H$3:$H$501,'Plan prihoda za unos u SAP'!$C$3:$C$501,"=43",'Plan prihoda za unos u SAP'!$K$3:$K$501,"=642")</f>
        <v>0</v>
      </c>
      <c r="J60" s="187">
        <f>SUMIFS('Plan prihoda za unos u SAP'!$H$3:$H$501,'Plan prihoda za unos u SAP'!$C$3:$C$501,"=51",'Plan prihoda za unos u SAP'!$K$3:$K$501,"=642")</f>
        <v>0</v>
      </c>
      <c r="K60" s="187">
        <f>SUMIFS('Plan prihoda za unos u SAP'!$H$3:$H$501,'Plan prihoda za unos u SAP'!$C$3:$C$501,"=52",'Plan prihoda za unos u SAP'!$K$3:$K$501,"=642")</f>
        <v>0</v>
      </c>
      <c r="L60" s="187">
        <f>SUMIFS('Plan prihoda za unos u SAP'!$H$3:$H$501,'Plan prihoda za unos u SAP'!$C$3:$C$501,"=552",'Plan prihoda za unos u SAP'!$K$3:$K$501,"=642")</f>
        <v>0</v>
      </c>
      <c r="M60" s="187">
        <f>SUMIFS('Plan prihoda za unos u SAP'!$H$3:$H$501,'Plan prihoda za unos u SAP'!$C$3:$C$501,"=559",'Plan prihoda za unos u SAP'!$K$3:$K$501,"=642")</f>
        <v>0</v>
      </c>
      <c r="N60" s="187">
        <f>SUMIFS('Plan prihoda za unos u SAP'!$H$3:$H$501,'Plan prihoda za unos u SAP'!$C$3:$C$501,"=561",'Plan prihoda za unos u SAP'!$K$3:$K$501,"=642")</f>
        <v>0</v>
      </c>
      <c r="O60" s="187">
        <f>SUMIFS('Plan prihoda za unos u SAP'!$H$3:$H$501,'Plan prihoda za unos u SAP'!$C$3:$C$501,"=563",'Plan prihoda za unos u SAP'!$K$3:$K$501,"=642")</f>
        <v>0</v>
      </c>
      <c r="P60" s="187">
        <f>SUMIFS('Plan prihoda za unos u SAP'!$H$3:$H$501,'Plan prihoda za unos u SAP'!$C$3:$C$501,"=573",'Plan prihoda za unos u SAP'!$K$3:$K$501,"=642")</f>
        <v>0</v>
      </c>
      <c r="Q60" s="187">
        <f>SUMIFS('Plan prihoda za unos u SAP'!$H$3:$H$501,'Plan prihoda za unos u SAP'!$C$3:$C$501,"=575",'Plan prihoda za unos u SAP'!$K$3:$K$501,"=642")</f>
        <v>0</v>
      </c>
      <c r="R60" s="187">
        <f>SUMIFS('Plan prihoda za unos u SAP'!$H$3:$H$501,'Plan prihoda za unos u SAP'!$C$3:$C$501,"=576",'Plan prihoda za unos u SAP'!$K$3:$K$501,"=642")</f>
        <v>0</v>
      </c>
      <c r="S60" s="187">
        <f>SUMIFS('Plan prihoda za unos u SAP'!$H$3:$H$501,'Plan prihoda za unos u SAP'!$C$3:$C$501,"=61",'Plan prihoda za unos u SAP'!$K$3:$K$501,"=642")</f>
        <v>0</v>
      </c>
      <c r="T60" s="187">
        <f>SUMIFS('Plan prihoda za unos u SAP'!$H$3:$H$501,'Plan prihoda za unos u SAP'!$C$3:$C$501,"=63",'Plan prihoda za unos u SAP'!$K$3:$K$501,"=642")</f>
        <v>0</v>
      </c>
      <c r="U60" s="187">
        <f>SUMIFS('Plan prihoda za unos u SAP'!$H$3:$H$501,'Plan prihoda za unos u SAP'!$C$3:$C$501,"=71",'Plan prihoda za unos u SAP'!$K$3:$K$501,"=642")</f>
        <v>0</v>
      </c>
      <c r="V60" s="187">
        <f>SUMIFS('Plan prihoda za unos u SAP'!$H$3:$H$501,'Plan prihoda za unos u SAP'!$C$3:$C$501,"=81",'Plan prihoda za unos u SAP'!$K$3:$K$501,"=642")</f>
        <v>0</v>
      </c>
      <c r="W60" s="187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3" t="s">
        <v>2141</v>
      </c>
      <c r="C61" s="96" t="s">
        <v>2142</v>
      </c>
      <c r="D61" s="70">
        <f t="shared" si="12"/>
        <v>0</v>
      </c>
      <c r="E61" s="187">
        <f>SUMIFS('Plan prihoda za unos u SAP'!$H$3:$H$501,'Plan prihoda za unos u SAP'!$C$3:$C$501,"=11",'Plan prihoda za unos u SAP'!$K$3:$K$501,"=651")</f>
        <v>0</v>
      </c>
      <c r="F61" s="187">
        <f>SUMIFS('Plan prihoda za unos u SAP'!$H$3:$H$501,'Plan prihoda za unos u SAP'!$C$3:$C$501,"=12",'Plan prihoda za unos u SAP'!$K$3:$K$501,"=651")</f>
        <v>0</v>
      </c>
      <c r="G61" s="187">
        <f>SUMIFS('Plan prihoda za unos u SAP'!$H$3:$H$501,'Plan prihoda za unos u SAP'!$C$3:$C$501,"=31",'Plan prihoda za unos u SAP'!$K$3:$K$501,"=651")</f>
        <v>0</v>
      </c>
      <c r="H61" s="187">
        <f>SUMIFS('Plan prihoda za unos u SAP'!$H$3:$H$501,'Plan prihoda za unos u SAP'!$C$3:$C$501,"=41",'Plan prihoda za unos u SAP'!$K$3:$K$501,"=651")</f>
        <v>0</v>
      </c>
      <c r="I61" s="187">
        <f>SUMIFS('Plan prihoda za unos u SAP'!$H$3:$H$501,'Plan prihoda za unos u SAP'!$C$3:$C$501,"=43",'Plan prihoda za unos u SAP'!$K$3:$K$501,"=651")</f>
        <v>0</v>
      </c>
      <c r="J61" s="187">
        <f>SUMIFS('Plan prihoda za unos u SAP'!$H$3:$H$501,'Plan prihoda za unos u SAP'!$C$3:$C$501,"=51",'Plan prihoda za unos u SAP'!$K$3:$K$501,"=651")</f>
        <v>0</v>
      </c>
      <c r="K61" s="187">
        <f>SUMIFS('Plan prihoda za unos u SAP'!$H$3:$H$501,'Plan prihoda za unos u SAP'!$C$3:$C$501,"=52",'Plan prihoda za unos u SAP'!$K$3:$K$501,"=651")</f>
        <v>0</v>
      </c>
      <c r="L61" s="187">
        <f>SUMIFS('Plan prihoda za unos u SAP'!$H$3:$H$501,'Plan prihoda za unos u SAP'!$C$3:$C$501,"=552",'Plan prihoda za unos u SAP'!$K$3:$K$501,"=651")</f>
        <v>0</v>
      </c>
      <c r="M61" s="187">
        <f>SUMIFS('Plan prihoda za unos u SAP'!$H$3:$H$501,'Plan prihoda za unos u SAP'!$C$3:$C$501,"=559",'Plan prihoda za unos u SAP'!$K$3:$K$501,"=651")</f>
        <v>0</v>
      </c>
      <c r="N61" s="187">
        <f>SUMIFS('Plan prihoda za unos u SAP'!$H$3:$H$501,'Plan prihoda za unos u SAP'!$C$3:$C$501,"=561",'Plan prihoda za unos u SAP'!$K$3:$K$501,"=651")</f>
        <v>0</v>
      </c>
      <c r="O61" s="187">
        <f>SUMIFS('Plan prihoda za unos u SAP'!$H$3:$H$501,'Plan prihoda za unos u SAP'!$C$3:$C$501,"=563",'Plan prihoda za unos u SAP'!$K$3:$K$501,"=651")</f>
        <v>0</v>
      </c>
      <c r="P61" s="187">
        <f>SUMIFS('Plan prihoda za unos u SAP'!$H$3:$H$501,'Plan prihoda za unos u SAP'!$C$3:$C$501,"=573",'Plan prihoda za unos u SAP'!$K$3:$K$501,"=651")</f>
        <v>0</v>
      </c>
      <c r="Q61" s="187">
        <f>SUMIFS('Plan prihoda za unos u SAP'!$H$3:$H$501,'Plan prihoda za unos u SAP'!$C$3:$C$501,"=575",'Plan prihoda za unos u SAP'!$K$3:$K$501,"=651")</f>
        <v>0</v>
      </c>
      <c r="R61" s="187">
        <f>SUMIFS('Plan prihoda za unos u SAP'!$H$3:$H$501,'Plan prihoda za unos u SAP'!$C$3:$C$501,"=576",'Plan prihoda za unos u SAP'!$K$3:$K$501,"=651")</f>
        <v>0</v>
      </c>
      <c r="S61" s="187">
        <f>SUMIFS('Plan prihoda za unos u SAP'!$H$3:$H$501,'Plan prihoda za unos u SAP'!$C$3:$C$501,"=61",'Plan prihoda za unos u SAP'!$K$3:$K$501,"=651")</f>
        <v>0</v>
      </c>
      <c r="T61" s="187">
        <f>SUMIFS('Plan prihoda za unos u SAP'!$H$3:$H$501,'Plan prihoda za unos u SAP'!$C$3:$C$501,"=63",'Plan prihoda za unos u SAP'!$K$3:$K$501,"=651")</f>
        <v>0</v>
      </c>
      <c r="U61" s="187">
        <f>SUMIFS('Plan prihoda za unos u SAP'!$H$3:$H$501,'Plan prihoda za unos u SAP'!$C$3:$C$501,"=71",'Plan prihoda za unos u SAP'!$K$3:$K$501,"=651")</f>
        <v>0</v>
      </c>
      <c r="V61" s="187">
        <f>SUMIFS('Plan prihoda za unos u SAP'!$H$3:$H$501,'Plan prihoda za unos u SAP'!$C$3:$C$501,"=81",'Plan prihoda za unos u SAP'!$K$3:$K$501,"=651")</f>
        <v>0</v>
      </c>
      <c r="W61" s="187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2143</v>
      </c>
      <c r="C62" s="96" t="s">
        <v>2144</v>
      </c>
      <c r="D62" s="70">
        <f t="shared" si="12"/>
        <v>3387700</v>
      </c>
      <c r="E62" s="187">
        <f>SUMIFS('Plan prihoda za unos u SAP'!$H$3:$H$501,'Plan prihoda za unos u SAP'!$C$3:$C$501,"=11",'Plan prihoda za unos u SAP'!$K$3:$K$501,"=652")</f>
        <v>0</v>
      </c>
      <c r="F62" s="187">
        <f>SUMIFS('Plan prihoda za unos u SAP'!$H$3:$H$501,'Plan prihoda za unos u SAP'!$C$3:$C$501,"=12",'Plan prihoda za unos u SAP'!$K$3:$K$501,"=652")</f>
        <v>0</v>
      </c>
      <c r="G62" s="187">
        <f>SUMIFS('Plan prihoda za unos u SAP'!$H$3:$H$501,'Plan prihoda za unos u SAP'!$C$3:$C$501,"=31",'Plan prihoda za unos u SAP'!$K$3:$K$501,"=652")</f>
        <v>0</v>
      </c>
      <c r="H62" s="187">
        <f>SUMIFS('Plan prihoda za unos u SAP'!$H$3:$H$501,'Plan prihoda za unos u SAP'!$C$3:$C$501,"=41",'Plan prihoda za unos u SAP'!$K$3:$K$501,"=652")</f>
        <v>0</v>
      </c>
      <c r="I62" s="187">
        <f>SUMIFS('Plan prihoda za unos u SAP'!$H$3:$H$501,'Plan prihoda za unos u SAP'!$C$3:$C$501,"=43",'Plan prihoda za unos u SAP'!$K$3:$K$501,"=652")</f>
        <v>3387700</v>
      </c>
      <c r="J62" s="187">
        <f>SUMIFS('Plan prihoda za unos u SAP'!$H$3:$H$501,'Plan prihoda za unos u SAP'!$C$3:$C$501,"=51",'Plan prihoda za unos u SAP'!$K$3:$K$501,"=652")</f>
        <v>0</v>
      </c>
      <c r="K62" s="187">
        <f>SUMIFS('Plan prihoda za unos u SAP'!$H$3:$H$501,'Plan prihoda za unos u SAP'!$C$3:$C$501,"=52",'Plan prihoda za unos u SAP'!$K$3:$K$501,"=652")</f>
        <v>0</v>
      </c>
      <c r="L62" s="187">
        <f>SUMIFS('Plan prihoda za unos u SAP'!$H$3:$H$501,'Plan prihoda za unos u SAP'!$C$3:$C$501,"=552",'Plan prihoda za unos u SAP'!$K$3:$K$501,"=652")</f>
        <v>0</v>
      </c>
      <c r="M62" s="187">
        <f>SUMIFS('Plan prihoda za unos u SAP'!$H$3:$H$501,'Plan prihoda za unos u SAP'!$C$3:$C$501,"=559",'Plan prihoda za unos u SAP'!$K$3:$K$501,"=652")</f>
        <v>0</v>
      </c>
      <c r="N62" s="187">
        <f>SUMIFS('Plan prihoda za unos u SAP'!$H$3:$H$501,'Plan prihoda za unos u SAP'!$C$3:$C$501,"=561",'Plan prihoda za unos u SAP'!$K$3:$K$501,"=652")</f>
        <v>0</v>
      </c>
      <c r="O62" s="187">
        <f>SUMIFS('Plan prihoda za unos u SAP'!$H$3:$H$501,'Plan prihoda za unos u SAP'!$C$3:$C$501,"=563",'Plan prihoda za unos u SAP'!$K$3:$K$501,"=652")</f>
        <v>0</v>
      </c>
      <c r="P62" s="187">
        <f>SUMIFS('Plan prihoda za unos u SAP'!$H$3:$H$501,'Plan prihoda za unos u SAP'!$C$3:$C$501,"=573",'Plan prihoda za unos u SAP'!$K$3:$K$501,"=652")</f>
        <v>0</v>
      </c>
      <c r="Q62" s="187">
        <f>SUMIFS('Plan prihoda za unos u SAP'!$H$3:$H$501,'Plan prihoda za unos u SAP'!$C$3:$C$501,"=575",'Plan prihoda za unos u SAP'!$K$3:$K$501,"=652")</f>
        <v>0</v>
      </c>
      <c r="R62" s="187">
        <f>SUMIFS('Plan prihoda za unos u SAP'!$H$3:$H$501,'Plan prihoda za unos u SAP'!$C$3:$C$501,"=576",'Plan prihoda za unos u SAP'!$K$3:$K$501,"=652")</f>
        <v>0</v>
      </c>
      <c r="S62" s="187">
        <f>SUMIFS('Plan prihoda za unos u SAP'!$H$3:$H$501,'Plan prihoda za unos u SAP'!$C$3:$C$501,"=61",'Plan prihoda za unos u SAP'!$K$3:$K$501,"=652")</f>
        <v>0</v>
      </c>
      <c r="T62" s="187">
        <f>SUMIFS('Plan prihoda za unos u SAP'!$H$3:$H$501,'Plan prihoda za unos u SAP'!$C$3:$C$501,"=63",'Plan prihoda za unos u SAP'!$K$3:$K$501,"=652")</f>
        <v>0</v>
      </c>
      <c r="U62" s="187">
        <f>SUMIFS('Plan prihoda za unos u SAP'!$H$3:$H$501,'Plan prihoda za unos u SAP'!$C$3:$C$501,"=71",'Plan prihoda za unos u SAP'!$K$3:$K$501,"=652")</f>
        <v>0</v>
      </c>
      <c r="V62" s="187">
        <f>SUMIFS('Plan prihoda za unos u SAP'!$H$3:$H$501,'Plan prihoda za unos u SAP'!$C$3:$C$501,"=81",'Plan prihoda za unos u SAP'!$K$3:$K$501,"=652")</f>
        <v>0</v>
      </c>
      <c r="W62" s="187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2145</v>
      </c>
      <c r="C63" s="96" t="s">
        <v>2146</v>
      </c>
      <c r="D63" s="70">
        <f t="shared" si="12"/>
        <v>2050000</v>
      </c>
      <c r="E63" s="187">
        <f>SUMIFS('Plan prihoda za unos u SAP'!$H$3:$H$501,'Plan prihoda za unos u SAP'!$C$3:$C$501,"=11",'Plan prihoda za unos u SAP'!$K$3:$K$501,"=661")</f>
        <v>0</v>
      </c>
      <c r="F63" s="187">
        <f>SUMIFS('Plan prihoda za unos u SAP'!$H$3:$H$501,'Plan prihoda za unos u SAP'!$C$3:$C$501,"=12",'Plan prihoda za unos u SAP'!$K$3:$K$501,"=661")</f>
        <v>0</v>
      </c>
      <c r="G63" s="187">
        <f>SUMIFS('Plan prihoda za unos u SAP'!$H$3:$H$501,'Plan prihoda za unos u SAP'!$C$3:$C$501,"=31",'Plan prihoda za unos u SAP'!$K$3:$K$501,"=661")</f>
        <v>2050000</v>
      </c>
      <c r="H63" s="187">
        <f>SUMIFS('Plan prihoda za unos u SAP'!$H$3:$H$501,'Plan prihoda za unos u SAP'!$C$3:$C$501,"=41",'Plan prihoda za unos u SAP'!$K$3:$K$501,"=661")</f>
        <v>0</v>
      </c>
      <c r="I63" s="187">
        <f>SUMIFS('Plan prihoda za unos u SAP'!$H$3:$H$501,'Plan prihoda za unos u SAP'!$C$3:$C$501,"=43",'Plan prihoda za unos u SAP'!$K$3:$K$501,"=661")</f>
        <v>0</v>
      </c>
      <c r="J63" s="187">
        <f>SUMIFS('Plan prihoda za unos u SAP'!$H$3:$H$501,'Plan prihoda za unos u SAP'!$C$3:$C$501,"=51",'Plan prihoda za unos u SAP'!$K$3:$K$501,"=661")</f>
        <v>0</v>
      </c>
      <c r="K63" s="187">
        <f>SUMIFS('Plan prihoda za unos u SAP'!$H$3:$H$501,'Plan prihoda za unos u SAP'!$C$3:$C$501,"=52",'Plan prihoda za unos u SAP'!$K$3:$K$501,"=661")</f>
        <v>0</v>
      </c>
      <c r="L63" s="187">
        <f>SUMIFS('Plan prihoda za unos u SAP'!$H$3:$H$501,'Plan prihoda za unos u SAP'!$C$3:$C$501,"=552",'Plan prihoda za unos u SAP'!$K$3:$K$501,"=661")</f>
        <v>0</v>
      </c>
      <c r="M63" s="187">
        <f>SUMIFS('Plan prihoda za unos u SAP'!$H$3:$H$501,'Plan prihoda za unos u SAP'!$C$3:$C$501,"=559",'Plan prihoda za unos u SAP'!$K$3:$K$501,"=661")</f>
        <v>0</v>
      </c>
      <c r="N63" s="187">
        <f>SUMIFS('Plan prihoda za unos u SAP'!$H$3:$H$501,'Plan prihoda za unos u SAP'!$C$3:$C$501,"=561",'Plan prihoda za unos u SAP'!$K$3:$K$501,"=661")</f>
        <v>0</v>
      </c>
      <c r="O63" s="187">
        <f>SUMIFS('Plan prihoda za unos u SAP'!$H$3:$H$501,'Plan prihoda za unos u SAP'!$C$3:$C$501,"=563",'Plan prihoda za unos u SAP'!$K$3:$K$501,"=661")</f>
        <v>0</v>
      </c>
      <c r="P63" s="187">
        <f>SUMIFS('Plan prihoda za unos u SAP'!$H$3:$H$501,'Plan prihoda za unos u SAP'!$C$3:$C$501,"=573",'Plan prihoda za unos u SAP'!$K$3:$K$501,"=661")</f>
        <v>0</v>
      </c>
      <c r="Q63" s="187">
        <f>SUMIFS('Plan prihoda za unos u SAP'!$H$3:$H$501,'Plan prihoda za unos u SAP'!$C$3:$C$501,"=575",'Plan prihoda za unos u SAP'!$K$3:$K$501,"=661")</f>
        <v>0</v>
      </c>
      <c r="R63" s="187">
        <f>SUMIFS('Plan prihoda za unos u SAP'!$H$3:$H$501,'Plan prihoda za unos u SAP'!$C$3:$C$501,"=576",'Plan prihoda za unos u SAP'!$K$3:$K$501,"=661")</f>
        <v>0</v>
      </c>
      <c r="S63" s="187">
        <f>SUMIFS('Plan prihoda za unos u SAP'!$H$3:$H$501,'Plan prihoda za unos u SAP'!$C$3:$C$501,"=61",'Plan prihoda za unos u SAP'!$K$3:$K$501,"=661")</f>
        <v>0</v>
      </c>
      <c r="T63" s="187">
        <f>SUMIFS('Plan prihoda za unos u SAP'!$H$3:$H$501,'Plan prihoda za unos u SAP'!$C$3:$C$501,"=63",'Plan prihoda za unos u SAP'!$K$3:$K$501,"=661")</f>
        <v>0</v>
      </c>
      <c r="U63" s="187">
        <f>SUMIFS('Plan prihoda za unos u SAP'!$H$3:$H$501,'Plan prihoda za unos u SAP'!$C$3:$C$501,"=71",'Plan prihoda za unos u SAP'!$K$3:$K$501,"=661")</f>
        <v>0</v>
      </c>
      <c r="V63" s="187">
        <f>SUMIFS('Plan prihoda za unos u SAP'!$H$3:$H$501,'Plan prihoda za unos u SAP'!$C$3:$C$501,"=81",'Plan prihoda za unos u SAP'!$K$3:$K$501,"=661")</f>
        <v>0</v>
      </c>
      <c r="W63" s="187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2147</v>
      </c>
      <c r="C64" s="96" t="s">
        <v>2148</v>
      </c>
      <c r="D64" s="70">
        <f t="shared" si="12"/>
        <v>22500</v>
      </c>
      <c r="E64" s="187">
        <f>SUMIFS('Plan prihoda za unos u SAP'!$H$3:$H$501,'Plan prihoda za unos u SAP'!$C$3:$C$501,"=11",'Plan prihoda za unos u SAP'!$K$3:$K$501,"=663")</f>
        <v>0</v>
      </c>
      <c r="F64" s="187">
        <f>SUMIFS('Plan prihoda za unos u SAP'!$H$3:$H$501,'Plan prihoda za unos u SAP'!$C$3:$C$501,"=12",'Plan prihoda za unos u SAP'!$K$3:$K$501,"=663")</f>
        <v>0</v>
      </c>
      <c r="G64" s="187">
        <f>SUMIFS('Plan prihoda za unos u SAP'!$H$3:$H$501,'Plan prihoda za unos u SAP'!$C$3:$C$501,"=31",'Plan prihoda za unos u SAP'!$K$3:$K$501,"=663")</f>
        <v>0</v>
      </c>
      <c r="H64" s="187">
        <f>SUMIFS('Plan prihoda za unos u SAP'!$H$3:$H$501,'Plan prihoda za unos u SAP'!$C$3:$C$501,"=41",'Plan prihoda za unos u SAP'!$K$3:$K$501,"=663")</f>
        <v>0</v>
      </c>
      <c r="I64" s="187">
        <f>SUMIFS('Plan prihoda za unos u SAP'!$H$3:$H$501,'Plan prihoda za unos u SAP'!$C$3:$C$501,"=43",'Plan prihoda za unos u SAP'!$K$3:$K$501,"=663")</f>
        <v>0</v>
      </c>
      <c r="J64" s="187">
        <f>SUMIFS('Plan prihoda za unos u SAP'!$H$3:$H$501,'Plan prihoda za unos u SAP'!$C$3:$C$501,"=51",'Plan prihoda za unos u SAP'!$K$3:$K$501,"=663")</f>
        <v>0</v>
      </c>
      <c r="K64" s="187">
        <f>SUMIFS('Plan prihoda za unos u SAP'!$H$3:$H$501,'Plan prihoda za unos u SAP'!$C$3:$C$501,"=52",'Plan prihoda za unos u SAP'!$K$3:$K$501,"=663")</f>
        <v>0</v>
      </c>
      <c r="L64" s="187">
        <f>SUMIFS('Plan prihoda za unos u SAP'!$H$3:$H$501,'Plan prihoda za unos u SAP'!$C$3:$C$501,"=552",'Plan prihoda za unos u SAP'!$K$3:$K$501,"=663")</f>
        <v>0</v>
      </c>
      <c r="M64" s="187">
        <f>SUMIFS('Plan prihoda za unos u SAP'!$H$3:$H$501,'Plan prihoda za unos u SAP'!$C$3:$C$501,"=559",'Plan prihoda za unos u SAP'!$K$3:$K$501,"=663")</f>
        <v>0</v>
      </c>
      <c r="N64" s="187">
        <f>SUMIFS('Plan prihoda za unos u SAP'!$H$3:$H$501,'Plan prihoda za unos u SAP'!$C$3:$C$501,"=561",'Plan prihoda za unos u SAP'!$K$3:$K$501,"=663")</f>
        <v>0</v>
      </c>
      <c r="O64" s="187">
        <f>SUMIFS('Plan prihoda za unos u SAP'!$H$3:$H$501,'Plan prihoda za unos u SAP'!$C$3:$C$501,"=563",'Plan prihoda za unos u SAP'!$K$3:$K$501,"=663")</f>
        <v>0</v>
      </c>
      <c r="P64" s="187">
        <f>SUMIFS('Plan prihoda za unos u SAP'!$H$3:$H$501,'Plan prihoda za unos u SAP'!$C$3:$C$501,"=573",'Plan prihoda za unos u SAP'!$K$3:$K$501,"=663")</f>
        <v>0</v>
      </c>
      <c r="Q64" s="187">
        <f>SUMIFS('Plan prihoda za unos u SAP'!$H$3:$H$501,'Plan prihoda za unos u SAP'!$C$3:$C$501,"=575",'Plan prihoda za unos u SAP'!$K$3:$K$501,"=663")</f>
        <v>0</v>
      </c>
      <c r="R64" s="187">
        <f>SUMIFS('Plan prihoda za unos u SAP'!$H$3:$H$501,'Plan prihoda za unos u SAP'!$C$3:$C$501,"=576",'Plan prihoda za unos u SAP'!$K$3:$K$501,"=663")</f>
        <v>0</v>
      </c>
      <c r="S64" s="187">
        <f>SUMIFS('Plan prihoda za unos u SAP'!$H$3:$H$501,'Plan prihoda za unos u SAP'!$C$3:$C$501,"=61",'Plan prihoda za unos u SAP'!$K$3:$K$501,"=663")</f>
        <v>22500</v>
      </c>
      <c r="T64" s="187">
        <f>SUMIFS('Plan prihoda za unos u SAP'!$H$3:$H$501,'Plan prihoda za unos u SAP'!$C$3:$C$501,"=63",'Plan prihoda za unos u SAP'!$K$3:$K$501,"=663")</f>
        <v>0</v>
      </c>
      <c r="U64" s="187">
        <f>SUMIFS('Plan prihoda za unos u SAP'!$H$3:$H$501,'Plan prihoda za unos u SAP'!$C$3:$C$501,"=71",'Plan prihoda za unos u SAP'!$K$3:$K$501,"=663")</f>
        <v>0</v>
      </c>
      <c r="V64" s="187">
        <f>SUMIFS('Plan prihoda za unos u SAP'!$H$3:$H$501,'Plan prihoda za unos u SAP'!$C$3:$C$501,"=81",'Plan prihoda za unos u SAP'!$K$3:$K$501,"=663")</f>
        <v>0</v>
      </c>
      <c r="W64" s="187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2149</v>
      </c>
      <c r="C65" s="96" t="s">
        <v>598</v>
      </c>
      <c r="D65" s="70">
        <f t="shared" si="12"/>
        <v>17221670</v>
      </c>
      <c r="E65" s="187">
        <f>SUMIFS('Plan prihoda za unos u SAP'!$H$3:$H$501,'Plan prihoda za unos u SAP'!$C$3:$C$501,"=11",'Plan prihoda za unos u SAP'!$K$3:$K$501,"=671")</f>
        <v>17221670</v>
      </c>
      <c r="F65" s="187">
        <f>SUMIFS('Plan prihoda za unos u SAP'!$H$3:$H$501,'Plan prihoda za unos u SAP'!$C$3:$C$501,"=12",'Plan prihoda za unos u SAP'!$K$3:$K$501,"=671")</f>
        <v>0</v>
      </c>
      <c r="G65" s="187">
        <f>SUMIFS('Plan prihoda za unos u SAP'!$H$3:$H$501,'Plan prihoda za unos u SAP'!$C$3:$C$501,"=31",'Plan prihoda za unos u SAP'!$K$3:$K$501,"=671")</f>
        <v>0</v>
      </c>
      <c r="H65" s="187">
        <f>SUMIFS('Plan prihoda za unos u SAP'!$H$3:$H$501,'Plan prihoda za unos u SAP'!$C$3:$C$501,"=41",'Plan prihoda za unos u SAP'!$K$3:$K$501,"=671")</f>
        <v>0</v>
      </c>
      <c r="I65" s="187">
        <f>SUMIFS('Plan prihoda za unos u SAP'!$H$3:$H$501,'Plan prihoda za unos u SAP'!$C$3:$C$501,"=43",'Plan prihoda za unos u SAP'!$K$3:$K$501,"=671")</f>
        <v>0</v>
      </c>
      <c r="J65" s="187">
        <f>SUMIFS('Plan prihoda za unos u SAP'!$H$3:$H$501,'Plan prihoda za unos u SAP'!$C$3:$C$501,"=51",'Plan prihoda za unos u SAP'!$K$3:$K$501,"=671")</f>
        <v>0</v>
      </c>
      <c r="K65" s="187">
        <f>SUMIFS('Plan prihoda za unos u SAP'!$H$3:$H$501,'Plan prihoda za unos u SAP'!$C$3:$C$501,"=52",'Plan prihoda za unos u SAP'!$K$3:$K$501,"=671")</f>
        <v>0</v>
      </c>
      <c r="L65" s="187">
        <f>SUMIFS('Plan prihoda za unos u SAP'!$H$3:$H$501,'Plan prihoda za unos u SAP'!$C$3:$C$501,"=552",'Plan prihoda za unos u SAP'!$K$3:$K$501,"=671")</f>
        <v>0</v>
      </c>
      <c r="M65" s="187">
        <f>SUMIFS('Plan prihoda za unos u SAP'!$H$3:$H$501,'Plan prihoda za unos u SAP'!$C$3:$C$501,"=559",'Plan prihoda za unos u SAP'!$K$3:$K$501,"=671")</f>
        <v>0</v>
      </c>
      <c r="N65" s="187">
        <f>SUMIFS('Plan prihoda za unos u SAP'!$H$3:$H$501,'Plan prihoda za unos u SAP'!$C$3:$C$501,"=561",'Plan prihoda za unos u SAP'!$K$3:$K$501,"=671")</f>
        <v>0</v>
      </c>
      <c r="O65" s="187">
        <f>SUMIFS('Plan prihoda za unos u SAP'!$H$3:$H$501,'Plan prihoda za unos u SAP'!$C$3:$C$501,"=563",'Plan prihoda za unos u SAP'!$K$3:$K$501,"=671")</f>
        <v>0</v>
      </c>
      <c r="P65" s="187">
        <f>SUMIFS('Plan prihoda za unos u SAP'!$H$3:$H$501,'Plan prihoda za unos u SAP'!$C$3:$C$501,"=573",'Plan prihoda za unos u SAP'!$K$3:$K$501,"=671")</f>
        <v>0</v>
      </c>
      <c r="Q65" s="187">
        <f>SUMIFS('Plan prihoda za unos u SAP'!$H$3:$H$501,'Plan prihoda za unos u SAP'!$C$3:$C$501,"=575",'Plan prihoda za unos u SAP'!$K$3:$K$501,"=671")</f>
        <v>0</v>
      </c>
      <c r="R65" s="187">
        <f>SUMIFS('Plan prihoda za unos u SAP'!$H$3:$H$501,'Plan prihoda za unos u SAP'!$C$3:$C$501,"=576",'Plan prihoda za unos u SAP'!$K$3:$K$501,"=671")</f>
        <v>0</v>
      </c>
      <c r="S65" s="187">
        <f>SUMIFS('Plan prihoda za unos u SAP'!$H$3:$H$501,'Plan prihoda za unos u SAP'!$C$3:$C$501,"=61",'Plan prihoda za unos u SAP'!$K$3:$K$501,"=671")</f>
        <v>0</v>
      </c>
      <c r="T65" s="187">
        <f>SUMIFS('Plan prihoda za unos u SAP'!$H$3:$H$501,'Plan prihoda za unos u SAP'!$C$3:$C$501,"=63",'Plan prihoda za unos u SAP'!$K$3:$K$501,"=671")</f>
        <v>0</v>
      </c>
      <c r="U65" s="187">
        <f>SUMIFS('Plan prihoda za unos u SAP'!$H$3:$H$501,'Plan prihoda za unos u SAP'!$C$3:$C$501,"=71",'Plan prihoda za unos u SAP'!$K$3:$K$501,"=671")</f>
        <v>0</v>
      </c>
      <c r="V65" s="187">
        <f>SUMIFS('Plan prihoda za unos u SAP'!$H$3:$H$501,'Plan prihoda za unos u SAP'!$C$3:$C$501,"=81",'Plan prihoda za unos u SAP'!$K$3:$K$501,"=671")</f>
        <v>0</v>
      </c>
      <c r="W65" s="187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2150</v>
      </c>
      <c r="C66" s="96" t="s">
        <v>2151</v>
      </c>
      <c r="D66" s="70">
        <f t="shared" si="12"/>
        <v>0</v>
      </c>
      <c r="E66" s="187">
        <f>SUMIFS('Plan prihoda za unos u SAP'!$H$3:$H$501,'Plan prihoda za unos u SAP'!$C$3:$C$501,"=11",'Plan prihoda za unos u SAP'!$K$3:$K$501,"=681")</f>
        <v>0</v>
      </c>
      <c r="F66" s="187">
        <f>SUMIFS('Plan prihoda za unos u SAP'!$H$3:$H$501,'Plan prihoda za unos u SAP'!$C$3:$C$501,"=12",'Plan prihoda za unos u SAP'!$K$3:$K$501,"=681")</f>
        <v>0</v>
      </c>
      <c r="G66" s="187">
        <f>SUMIFS('Plan prihoda za unos u SAP'!$H$3:$H$501,'Plan prihoda za unos u SAP'!$C$3:$C$501,"=31",'Plan prihoda za unos u SAP'!$K$3:$K$501,"=681")</f>
        <v>0</v>
      </c>
      <c r="H66" s="187">
        <f>SUMIFS('Plan prihoda za unos u SAP'!$H$3:$H$501,'Plan prihoda za unos u SAP'!$C$3:$C$501,"=41",'Plan prihoda za unos u SAP'!$K$3:$K$501,"=681")</f>
        <v>0</v>
      </c>
      <c r="I66" s="187">
        <f>SUMIFS('Plan prihoda za unos u SAP'!$H$3:$H$501,'Plan prihoda za unos u SAP'!$C$3:$C$501,"=43",'Plan prihoda za unos u SAP'!$K$3:$K$501,"=681")</f>
        <v>0</v>
      </c>
      <c r="J66" s="187">
        <f>SUMIFS('Plan prihoda za unos u SAP'!$H$3:$H$501,'Plan prihoda za unos u SAP'!$C$3:$C$501,"=51",'Plan prihoda za unos u SAP'!$K$3:$K$501,"=681")</f>
        <v>0</v>
      </c>
      <c r="K66" s="187">
        <f>SUMIFS('Plan prihoda za unos u SAP'!$H$3:$H$501,'Plan prihoda za unos u SAP'!$C$3:$C$501,"=52",'Plan prihoda za unos u SAP'!$K$3:$K$501,"=681")</f>
        <v>0</v>
      </c>
      <c r="L66" s="187">
        <f>SUMIFS('Plan prihoda za unos u SAP'!$H$3:$H$501,'Plan prihoda za unos u SAP'!$C$3:$C$501,"=552",'Plan prihoda za unos u SAP'!$K$3:$K$501,"=681")</f>
        <v>0</v>
      </c>
      <c r="M66" s="187">
        <f>SUMIFS('Plan prihoda za unos u SAP'!$H$3:$H$501,'Plan prihoda za unos u SAP'!$C$3:$C$501,"=559",'Plan prihoda za unos u SAP'!$K$3:$K$501,"=681")</f>
        <v>0</v>
      </c>
      <c r="N66" s="187">
        <f>SUMIFS('Plan prihoda za unos u SAP'!$H$3:$H$501,'Plan prihoda za unos u SAP'!$C$3:$C$501,"=561",'Plan prihoda za unos u SAP'!$K$3:$K$501,"=681")</f>
        <v>0</v>
      </c>
      <c r="O66" s="187">
        <f>SUMIFS('Plan prihoda za unos u SAP'!$H$3:$H$501,'Plan prihoda za unos u SAP'!$C$3:$C$501,"=563",'Plan prihoda za unos u SAP'!$K$3:$K$501,"=681")</f>
        <v>0</v>
      </c>
      <c r="P66" s="187">
        <f>SUMIFS('Plan prihoda za unos u SAP'!$H$3:$H$501,'Plan prihoda za unos u SAP'!$C$3:$C$501,"=573",'Plan prihoda za unos u SAP'!$K$3:$K$501,"=681")</f>
        <v>0</v>
      </c>
      <c r="Q66" s="187">
        <f>SUMIFS('Plan prihoda za unos u SAP'!$H$3:$H$501,'Plan prihoda za unos u SAP'!$C$3:$C$501,"=575",'Plan prihoda za unos u SAP'!$K$3:$K$501,"=681")</f>
        <v>0</v>
      </c>
      <c r="R66" s="187">
        <f>SUMIFS('Plan prihoda za unos u SAP'!$H$3:$H$501,'Plan prihoda za unos u SAP'!$C$3:$C$501,"=576",'Plan prihoda za unos u SAP'!$K$3:$K$501,"=681")</f>
        <v>0</v>
      </c>
      <c r="S66" s="187">
        <f>SUMIFS('Plan prihoda za unos u SAP'!$H$3:$H$501,'Plan prihoda za unos u SAP'!$C$3:$C$501,"=61",'Plan prihoda za unos u SAP'!$K$3:$K$501,"=681")</f>
        <v>0</v>
      </c>
      <c r="T66" s="187">
        <f>SUMIFS('Plan prihoda za unos u SAP'!$H$3:$H$501,'Plan prihoda za unos u SAP'!$C$3:$C$501,"=63",'Plan prihoda za unos u SAP'!$K$3:$K$501,"=681")</f>
        <v>0</v>
      </c>
      <c r="U66" s="187">
        <f>SUMIFS('Plan prihoda za unos u SAP'!$H$3:$H$501,'Plan prihoda za unos u SAP'!$C$3:$C$501,"=71",'Plan prihoda za unos u SAP'!$K$3:$K$501,"=681")</f>
        <v>0</v>
      </c>
      <c r="V66" s="187">
        <f>SUMIFS('Plan prihoda za unos u SAP'!$H$3:$H$501,'Plan prihoda za unos u SAP'!$C$3:$C$501,"=81",'Plan prihoda za unos u SAP'!$K$3:$K$501,"=681")</f>
        <v>0</v>
      </c>
      <c r="W66" s="187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2152</v>
      </c>
      <c r="C67" s="96" t="s">
        <v>2153</v>
      </c>
      <c r="D67" s="70">
        <f t="shared" si="12"/>
        <v>0</v>
      </c>
      <c r="E67" s="187">
        <f>SUMIFS('Plan prihoda za unos u SAP'!$H$3:$H$501,'Plan prihoda za unos u SAP'!$C$3:$C$501,"=11",'Plan prihoda za unos u SAP'!$K$3:$K$501,"=683")</f>
        <v>0</v>
      </c>
      <c r="F67" s="187">
        <f>SUMIFS('Plan prihoda za unos u SAP'!$H$3:$H$501,'Plan prihoda za unos u SAP'!$C$3:$C$501,"=12",'Plan prihoda za unos u SAP'!$K$3:$K$501,"=683")</f>
        <v>0</v>
      </c>
      <c r="G67" s="187">
        <f>SUMIFS('Plan prihoda za unos u SAP'!$H$3:$H$501,'Plan prihoda za unos u SAP'!$C$3:$C$501,"=31",'Plan prihoda za unos u SAP'!$K$3:$K$501,"=683")</f>
        <v>0</v>
      </c>
      <c r="H67" s="187">
        <f>SUMIFS('Plan prihoda za unos u SAP'!$H$3:$H$501,'Plan prihoda za unos u SAP'!$C$3:$C$501,"=41",'Plan prihoda za unos u SAP'!$K$3:$K$501,"=683")</f>
        <v>0</v>
      </c>
      <c r="I67" s="187">
        <f>SUMIFS('Plan prihoda za unos u SAP'!$H$3:$H$501,'Plan prihoda za unos u SAP'!$C$3:$C$501,"=43",'Plan prihoda za unos u SAP'!$K$3:$K$501,"=683")</f>
        <v>0</v>
      </c>
      <c r="J67" s="187">
        <f>SUMIFS('Plan prihoda za unos u SAP'!$H$3:$H$501,'Plan prihoda za unos u SAP'!$C$3:$C$501,"=51",'Plan prihoda za unos u SAP'!$K$3:$K$501,"=683")</f>
        <v>0</v>
      </c>
      <c r="K67" s="187">
        <f>SUMIFS('Plan prihoda za unos u SAP'!$H$3:$H$501,'Plan prihoda za unos u SAP'!$C$3:$C$501,"=52",'Plan prihoda za unos u SAP'!$K$3:$K$501,"=683")</f>
        <v>0</v>
      </c>
      <c r="L67" s="187">
        <f>SUMIFS('Plan prihoda za unos u SAP'!$H$3:$H$501,'Plan prihoda za unos u SAP'!$C$3:$C$501,"=552",'Plan prihoda za unos u SAP'!$K$3:$K$501,"=683")</f>
        <v>0</v>
      </c>
      <c r="M67" s="187">
        <f>SUMIFS('Plan prihoda za unos u SAP'!$H$3:$H$501,'Plan prihoda za unos u SAP'!$C$3:$C$501,"=559",'Plan prihoda za unos u SAP'!$K$3:$K$501,"=683")</f>
        <v>0</v>
      </c>
      <c r="N67" s="187">
        <f>SUMIFS('Plan prihoda za unos u SAP'!$H$3:$H$501,'Plan prihoda za unos u SAP'!$C$3:$C$501,"=561",'Plan prihoda za unos u SAP'!$K$3:$K$501,"=683")</f>
        <v>0</v>
      </c>
      <c r="O67" s="187">
        <f>SUMIFS('Plan prihoda za unos u SAP'!$H$3:$H$501,'Plan prihoda za unos u SAP'!$C$3:$C$501,"=563",'Plan prihoda za unos u SAP'!$K$3:$K$501,"=683")</f>
        <v>0</v>
      </c>
      <c r="P67" s="187">
        <f>SUMIFS('Plan prihoda za unos u SAP'!$H$3:$H$501,'Plan prihoda za unos u SAP'!$C$3:$C$501,"=573",'Plan prihoda za unos u SAP'!$K$3:$K$501,"=683")</f>
        <v>0</v>
      </c>
      <c r="Q67" s="187">
        <f>SUMIFS('Plan prihoda za unos u SAP'!$H$3:$H$501,'Plan prihoda za unos u SAP'!$C$3:$C$501,"=575",'Plan prihoda za unos u SAP'!$K$3:$K$501,"=683")</f>
        <v>0</v>
      </c>
      <c r="R67" s="187">
        <f>SUMIFS('Plan prihoda za unos u SAP'!$H$3:$H$501,'Plan prihoda za unos u SAP'!$C$3:$C$501,"=576",'Plan prihoda za unos u SAP'!$K$3:$K$501,"=683")</f>
        <v>0</v>
      </c>
      <c r="S67" s="187">
        <f>SUMIFS('Plan prihoda za unos u SAP'!$H$3:$H$501,'Plan prihoda za unos u SAP'!$C$3:$C$501,"=61",'Plan prihoda za unos u SAP'!$K$3:$K$501,"=683")</f>
        <v>0</v>
      </c>
      <c r="T67" s="187">
        <f>SUMIFS('Plan prihoda za unos u SAP'!$H$3:$H$501,'Plan prihoda za unos u SAP'!$C$3:$C$501,"=63",'Plan prihoda za unos u SAP'!$K$3:$K$501,"=683")</f>
        <v>0</v>
      </c>
      <c r="U67" s="187">
        <f>SUMIFS('Plan prihoda za unos u SAP'!$H$3:$H$501,'Plan prihoda za unos u SAP'!$C$3:$C$501,"=71",'Plan prihoda za unos u SAP'!$K$3:$K$501,"=683")</f>
        <v>0</v>
      </c>
      <c r="V67" s="187">
        <f>SUMIFS('Plan prihoda za unos u SAP'!$H$3:$H$501,'Plan prihoda za unos u SAP'!$C$3:$C$501,"=81",'Plan prihoda za unos u SAP'!$K$3:$K$501,"=683")</f>
        <v>0</v>
      </c>
      <c r="W67" s="187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2154</v>
      </c>
      <c r="C68" s="99" t="s">
        <v>2155</v>
      </c>
      <c r="D68" s="70">
        <f t="shared" si="12"/>
        <v>23326100</v>
      </c>
      <c r="E68" s="4">
        <f>SUM(E52:E67)</f>
        <v>17221670</v>
      </c>
      <c r="F68" s="4">
        <f t="shared" ref="F68:W68" si="16">SUM(F52:F67)</f>
        <v>0</v>
      </c>
      <c r="G68" s="4">
        <f t="shared" si="16"/>
        <v>2050000</v>
      </c>
      <c r="H68" s="4">
        <f t="shared" si="16"/>
        <v>0</v>
      </c>
      <c r="I68" s="4">
        <f t="shared" si="16"/>
        <v>3387700</v>
      </c>
      <c r="J68" s="4">
        <f>SUM(J52:J67)</f>
        <v>378300</v>
      </c>
      <c r="K68" s="4">
        <f t="shared" si="16"/>
        <v>265930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22500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2156</v>
      </c>
      <c r="C69" s="100" t="s">
        <v>2157</v>
      </c>
      <c r="D69" s="70">
        <f t="shared" si="12"/>
        <v>0</v>
      </c>
      <c r="E69" s="187">
        <f>SUMIFS('Plan prihoda za unos u SAP'!$H$3:$H$501,'Plan prihoda za unos u SAP'!$C$3:$C$501,"=11",'Plan prihoda za unos u SAP'!$K$3:$K$501,"=711")</f>
        <v>0</v>
      </c>
      <c r="F69" s="187">
        <f>SUMIFS('Plan prihoda za unos u SAP'!$H$3:$H$501,'Plan prihoda za unos u SAP'!$C$3:$C$501,"=12",'Plan prihoda za unos u SAP'!$K$3:$K$501,"=711")</f>
        <v>0</v>
      </c>
      <c r="G69" s="187">
        <f>SUMIFS('Plan prihoda za unos u SAP'!$H$3:$H$501,'Plan prihoda za unos u SAP'!$C$3:$C$501,"=31",'Plan prihoda za unos u SAP'!$K$3:$K$501,"=711")</f>
        <v>0</v>
      </c>
      <c r="H69" s="187">
        <f>SUMIFS('Plan prihoda za unos u SAP'!$H$3:$H$501,'Plan prihoda za unos u SAP'!$C$3:$C$501,"=41",'Plan prihoda za unos u SAP'!$K$3:$K$501,"=711")</f>
        <v>0</v>
      </c>
      <c r="I69" s="187">
        <f>SUMIFS('Plan prihoda za unos u SAP'!$H$3:$H$501,'Plan prihoda za unos u SAP'!$C$3:$C$501,"=43",'Plan prihoda za unos u SAP'!$K$3:$K$501,"=711")</f>
        <v>0</v>
      </c>
      <c r="J69" s="187">
        <f>SUMIFS('Plan prihoda za unos u SAP'!$H$3:$H$501,'Plan prihoda za unos u SAP'!$C$3:$C$501,"=51",'Plan prihoda za unos u SAP'!$K$3:$K$501,"=711")</f>
        <v>0</v>
      </c>
      <c r="K69" s="187">
        <f>SUMIFS('Plan prihoda za unos u SAP'!$H$3:$H$501,'Plan prihoda za unos u SAP'!$C$3:$C$501,"=52",'Plan prihoda za unos u SAP'!$K$3:$K$501,"=711")</f>
        <v>0</v>
      </c>
      <c r="L69" s="187">
        <f>SUMIFS('Plan prihoda za unos u SAP'!$H$3:$H$501,'Plan prihoda za unos u SAP'!$C$3:$C$501,"=552",'Plan prihoda za unos u SAP'!$K$3:$K$501,"=711")</f>
        <v>0</v>
      </c>
      <c r="M69" s="187">
        <f>SUMIFS('Plan prihoda za unos u SAP'!$H$3:$H$501,'Plan prihoda za unos u SAP'!$C$3:$C$501,"=559",'Plan prihoda za unos u SAP'!$K$3:$K$501,"=711")</f>
        <v>0</v>
      </c>
      <c r="N69" s="187">
        <f>SUMIFS('Plan prihoda za unos u SAP'!$H$3:$H$501,'Plan prihoda za unos u SAP'!$C$3:$C$501,"=561",'Plan prihoda za unos u SAP'!$K$3:$K$501,"=711")</f>
        <v>0</v>
      </c>
      <c r="O69" s="187">
        <f>SUMIFS('Plan prihoda za unos u SAP'!$H$3:$H$501,'Plan prihoda za unos u SAP'!$C$3:$C$501,"=563",'Plan prihoda za unos u SAP'!$K$3:$K$501,"=711")</f>
        <v>0</v>
      </c>
      <c r="P69" s="187">
        <f>SUMIFS('Plan prihoda za unos u SAP'!$H$3:$H$501,'Plan prihoda za unos u SAP'!$C$3:$C$501,"=573",'Plan prihoda za unos u SAP'!$K$3:$K$501,"=711")</f>
        <v>0</v>
      </c>
      <c r="Q69" s="187">
        <f>SUMIFS('Plan prihoda za unos u SAP'!$H$3:$H$501,'Plan prihoda za unos u SAP'!$C$3:$C$501,"=575",'Plan prihoda za unos u SAP'!$K$3:$K$501,"=711")</f>
        <v>0</v>
      </c>
      <c r="R69" s="187">
        <f>SUMIFS('Plan prihoda za unos u SAP'!$H$3:$H$501,'Plan prihoda za unos u SAP'!$C$3:$C$501,"=576",'Plan prihoda za unos u SAP'!$K$3:$K$501,"=711")</f>
        <v>0</v>
      </c>
      <c r="S69" s="187">
        <f>SUMIFS('Plan prihoda za unos u SAP'!$H$3:$H$501,'Plan prihoda za unos u SAP'!$C$3:$C$501,"=61",'Plan prihoda za unos u SAP'!$K$3:$K$501,"=711")</f>
        <v>0</v>
      </c>
      <c r="T69" s="187">
        <f>SUMIFS('Plan prihoda za unos u SAP'!$H$3:$H$501,'Plan prihoda za unos u SAP'!$C$3:$C$501,"=63",'Plan prihoda za unos u SAP'!$K$3:$K$501,"=711")</f>
        <v>0</v>
      </c>
      <c r="U69" s="187">
        <f>SUMIFS('Plan prihoda za unos u SAP'!$H$3:$H$501,'Plan prihoda za unos u SAP'!$C$3:$C$501,"=71",'Plan prihoda za unos u SAP'!$K$3:$K$501,"=711")</f>
        <v>0</v>
      </c>
      <c r="V69" s="187">
        <f>SUMIFS('Plan prihoda za unos u SAP'!$H$3:$H$501,'Plan prihoda za unos u SAP'!$C$3:$C$501,"=81",'Plan prihoda za unos u SAP'!$K$3:$K$501,"=711")</f>
        <v>0</v>
      </c>
      <c r="W69" s="187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2158</v>
      </c>
      <c r="C70" s="100" t="s">
        <v>2159</v>
      </c>
      <c r="D70" s="70">
        <f t="shared" si="12"/>
        <v>0</v>
      </c>
      <c r="E70" s="187">
        <f>SUMIFS('Plan prihoda za unos u SAP'!$H$3:$H$501,'Plan prihoda za unos u SAP'!$C$3:$C$501,"=11",'Plan prihoda za unos u SAP'!$K$3:$K$501,"=712")</f>
        <v>0</v>
      </c>
      <c r="F70" s="187">
        <f>SUMIFS('Plan prihoda za unos u SAP'!$H$3:$H$501,'Plan prihoda za unos u SAP'!$C$3:$C$501,"=12",'Plan prihoda za unos u SAP'!$K$3:$K$501,"=712")</f>
        <v>0</v>
      </c>
      <c r="G70" s="187">
        <f>SUMIFS('Plan prihoda za unos u SAP'!$H$3:$H$501,'Plan prihoda za unos u SAP'!$C$3:$C$501,"=31",'Plan prihoda za unos u SAP'!$K$3:$K$501,"=712")</f>
        <v>0</v>
      </c>
      <c r="H70" s="187">
        <f>SUMIFS('Plan prihoda za unos u SAP'!$H$3:$H$501,'Plan prihoda za unos u SAP'!$C$3:$C$501,"=41",'Plan prihoda za unos u SAP'!$K$3:$K$501,"=712")</f>
        <v>0</v>
      </c>
      <c r="I70" s="187">
        <f>SUMIFS('Plan prihoda za unos u SAP'!$H$3:$H$501,'Plan prihoda za unos u SAP'!$C$3:$C$501,"=43",'Plan prihoda za unos u SAP'!$K$3:$K$501,"=712")</f>
        <v>0</v>
      </c>
      <c r="J70" s="187">
        <f>SUMIFS('Plan prihoda za unos u SAP'!$H$3:$H$501,'Plan prihoda za unos u SAP'!$C$3:$C$501,"=51",'Plan prihoda za unos u SAP'!$K$3:$K$501,"=712")</f>
        <v>0</v>
      </c>
      <c r="K70" s="187">
        <f>SUMIFS('Plan prihoda za unos u SAP'!$H$3:$H$501,'Plan prihoda za unos u SAP'!$C$3:$C$501,"=52",'Plan prihoda za unos u SAP'!$K$3:$K$501,"=712")</f>
        <v>0</v>
      </c>
      <c r="L70" s="187">
        <f>SUMIFS('Plan prihoda za unos u SAP'!$H$3:$H$501,'Plan prihoda za unos u SAP'!$C$3:$C$501,"=552",'Plan prihoda za unos u SAP'!$K$3:$K$501,"=712")</f>
        <v>0</v>
      </c>
      <c r="M70" s="187">
        <f>SUMIFS('Plan prihoda za unos u SAP'!$H$3:$H$501,'Plan prihoda za unos u SAP'!$C$3:$C$501,"=559",'Plan prihoda za unos u SAP'!$K$3:$K$501,"=712")</f>
        <v>0</v>
      </c>
      <c r="N70" s="187">
        <f>SUMIFS('Plan prihoda za unos u SAP'!$H$3:$H$501,'Plan prihoda za unos u SAP'!$C$3:$C$501,"=561",'Plan prihoda za unos u SAP'!$K$3:$K$501,"=712")</f>
        <v>0</v>
      </c>
      <c r="O70" s="187">
        <f>SUMIFS('Plan prihoda za unos u SAP'!$H$3:$H$501,'Plan prihoda za unos u SAP'!$C$3:$C$501,"=563",'Plan prihoda za unos u SAP'!$K$3:$K$501,"=712")</f>
        <v>0</v>
      </c>
      <c r="P70" s="187">
        <f>SUMIFS('Plan prihoda za unos u SAP'!$H$3:$H$501,'Plan prihoda za unos u SAP'!$C$3:$C$501,"=573",'Plan prihoda za unos u SAP'!$K$3:$K$501,"=712")</f>
        <v>0</v>
      </c>
      <c r="Q70" s="187">
        <f>SUMIFS('Plan prihoda za unos u SAP'!$H$3:$H$501,'Plan prihoda za unos u SAP'!$C$3:$C$501,"=575",'Plan prihoda za unos u SAP'!$K$3:$K$501,"=712")</f>
        <v>0</v>
      </c>
      <c r="R70" s="187">
        <f>SUMIFS('Plan prihoda za unos u SAP'!$H$3:$H$501,'Plan prihoda za unos u SAP'!$C$3:$C$501,"=576",'Plan prihoda za unos u SAP'!$K$3:$K$501,"=712")</f>
        <v>0</v>
      </c>
      <c r="S70" s="187">
        <f>SUMIFS('Plan prihoda za unos u SAP'!$H$3:$H$501,'Plan prihoda za unos u SAP'!$C$3:$C$501,"=61",'Plan prihoda za unos u SAP'!$K$3:$K$501,"=712")</f>
        <v>0</v>
      </c>
      <c r="T70" s="187">
        <f>SUMIFS('Plan prihoda za unos u SAP'!$H$3:$H$501,'Plan prihoda za unos u SAP'!$C$3:$C$501,"=63",'Plan prihoda za unos u SAP'!$K$3:$K$501,"=712")</f>
        <v>0</v>
      </c>
      <c r="U70" s="187">
        <f>SUMIFS('Plan prihoda za unos u SAP'!$H$3:$H$501,'Plan prihoda za unos u SAP'!$C$3:$C$501,"=71",'Plan prihoda za unos u SAP'!$K$3:$K$501,"=712")</f>
        <v>0</v>
      </c>
      <c r="V70" s="187">
        <f>SUMIFS('Plan prihoda za unos u SAP'!$H$3:$H$501,'Plan prihoda za unos u SAP'!$C$3:$C$501,"=81",'Plan prihoda za unos u SAP'!$K$3:$K$501,"=712")</f>
        <v>0</v>
      </c>
      <c r="W70" s="187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2160</v>
      </c>
      <c r="C71" s="100" t="s">
        <v>2161</v>
      </c>
      <c r="D71" s="70">
        <f t="shared" si="12"/>
        <v>0</v>
      </c>
      <c r="E71" s="187">
        <f>SUMIFS('Plan prihoda za unos u SAP'!$H$3:$H$501,'Plan prihoda za unos u SAP'!$C$3:$C$501,"=11",'Plan prihoda za unos u SAP'!$K$3:$K$501,"=721")</f>
        <v>0</v>
      </c>
      <c r="F71" s="187">
        <f>SUMIFS('Plan prihoda za unos u SAP'!$H$3:$H$501,'Plan prihoda za unos u SAP'!$C$3:$C$501,"=12",'Plan prihoda za unos u SAP'!$K$3:$K$501,"=721")</f>
        <v>0</v>
      </c>
      <c r="G71" s="187">
        <f>SUMIFS('Plan prihoda za unos u SAP'!$H$3:$H$501,'Plan prihoda za unos u SAP'!$C$3:$C$501,"=31",'Plan prihoda za unos u SAP'!$K$3:$K$501,"=721")</f>
        <v>0</v>
      </c>
      <c r="H71" s="187">
        <f>SUMIFS('Plan prihoda za unos u SAP'!$H$3:$H$501,'Plan prihoda za unos u SAP'!$C$3:$C$501,"=41",'Plan prihoda za unos u SAP'!$K$3:$K$501,"=721")</f>
        <v>0</v>
      </c>
      <c r="I71" s="187">
        <f>SUMIFS('Plan prihoda za unos u SAP'!$H$3:$H$501,'Plan prihoda za unos u SAP'!$C$3:$C$501,"=43",'Plan prihoda za unos u SAP'!$K$3:$K$501,"=721")</f>
        <v>0</v>
      </c>
      <c r="J71" s="187">
        <f>SUMIFS('Plan prihoda za unos u SAP'!$H$3:$H$501,'Plan prihoda za unos u SAP'!$C$3:$C$501,"=51",'Plan prihoda za unos u SAP'!$K$3:$K$501,"=721")</f>
        <v>0</v>
      </c>
      <c r="K71" s="187">
        <f>SUMIFS('Plan prihoda za unos u SAP'!$H$3:$H$501,'Plan prihoda za unos u SAP'!$C$3:$C$501,"=52",'Plan prihoda za unos u SAP'!$K$3:$K$501,"=721")</f>
        <v>0</v>
      </c>
      <c r="L71" s="187">
        <f>SUMIFS('Plan prihoda za unos u SAP'!$H$3:$H$501,'Plan prihoda za unos u SAP'!$C$3:$C$501,"=552",'Plan prihoda za unos u SAP'!$K$3:$K$501,"=721")</f>
        <v>0</v>
      </c>
      <c r="M71" s="187">
        <f>SUMIFS('Plan prihoda za unos u SAP'!$H$3:$H$501,'Plan prihoda za unos u SAP'!$C$3:$C$501,"=559",'Plan prihoda za unos u SAP'!$K$3:$K$501,"=721")</f>
        <v>0</v>
      </c>
      <c r="N71" s="187">
        <f>SUMIFS('Plan prihoda za unos u SAP'!$H$3:$H$501,'Plan prihoda za unos u SAP'!$C$3:$C$501,"=561",'Plan prihoda za unos u SAP'!$K$3:$K$501,"=721")</f>
        <v>0</v>
      </c>
      <c r="O71" s="187">
        <f>SUMIFS('Plan prihoda za unos u SAP'!$H$3:$H$501,'Plan prihoda za unos u SAP'!$C$3:$C$501,"=563",'Plan prihoda za unos u SAP'!$K$3:$K$501,"=721")</f>
        <v>0</v>
      </c>
      <c r="P71" s="187">
        <f>SUMIFS('Plan prihoda za unos u SAP'!$H$3:$H$501,'Plan prihoda za unos u SAP'!$C$3:$C$501,"=573",'Plan prihoda za unos u SAP'!$K$3:$K$501,"=721")</f>
        <v>0</v>
      </c>
      <c r="Q71" s="187">
        <f>SUMIFS('Plan prihoda za unos u SAP'!$H$3:$H$501,'Plan prihoda za unos u SAP'!$C$3:$C$501,"=575",'Plan prihoda za unos u SAP'!$K$3:$K$501,"=721")</f>
        <v>0</v>
      </c>
      <c r="R71" s="187">
        <f>SUMIFS('Plan prihoda za unos u SAP'!$H$3:$H$501,'Plan prihoda za unos u SAP'!$C$3:$C$501,"=576",'Plan prihoda za unos u SAP'!$K$3:$K$501,"=721")</f>
        <v>0</v>
      </c>
      <c r="S71" s="187">
        <f>SUMIFS('Plan prihoda za unos u SAP'!$H$3:$H$501,'Plan prihoda za unos u SAP'!$C$3:$C$501,"=61",'Plan prihoda za unos u SAP'!$K$3:$K$501,"=721")</f>
        <v>0</v>
      </c>
      <c r="T71" s="187">
        <f>SUMIFS('Plan prihoda za unos u SAP'!$H$3:$H$501,'Plan prihoda za unos u SAP'!$C$3:$C$501,"=63",'Plan prihoda za unos u SAP'!$K$3:$K$501,"=721")</f>
        <v>0</v>
      </c>
      <c r="U71" s="187">
        <f>SUMIFS('Plan prihoda za unos u SAP'!$H$3:$H$501,'Plan prihoda za unos u SAP'!$C$3:$C$501,"=71",'Plan prihoda za unos u SAP'!$K$3:$K$501,"=721")</f>
        <v>0</v>
      </c>
      <c r="V71" s="187">
        <f>SUMIFS('Plan prihoda za unos u SAP'!$H$3:$H$501,'Plan prihoda za unos u SAP'!$C$3:$C$501,"=81",'Plan prihoda za unos u SAP'!$K$3:$K$501,"=721")</f>
        <v>0</v>
      </c>
      <c r="W71" s="187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2162</v>
      </c>
      <c r="C72" s="100" t="s">
        <v>2163</v>
      </c>
      <c r="D72" s="70">
        <f t="shared" si="12"/>
        <v>0</v>
      </c>
      <c r="E72" s="187">
        <f>SUMIFS('Plan prihoda za unos u SAP'!$H$3:$H$501,'Plan prihoda za unos u SAP'!$C$3:$C$501,"=11",'Plan prihoda za unos u SAP'!$K$3:$K$501,"=722")</f>
        <v>0</v>
      </c>
      <c r="F72" s="187">
        <f>SUMIFS('Plan prihoda za unos u SAP'!$H$3:$H$501,'Plan prihoda za unos u SAP'!$C$3:$C$501,"=12",'Plan prihoda za unos u SAP'!$K$3:$K$501,"=722")</f>
        <v>0</v>
      </c>
      <c r="G72" s="187">
        <f>SUMIFS('Plan prihoda za unos u SAP'!$H$3:$H$501,'Plan prihoda za unos u SAP'!$C$3:$C$501,"=31",'Plan prihoda za unos u SAP'!$K$3:$K$501,"=722")</f>
        <v>0</v>
      </c>
      <c r="H72" s="187">
        <f>SUMIFS('Plan prihoda za unos u SAP'!$H$3:$H$501,'Plan prihoda za unos u SAP'!$C$3:$C$501,"=41",'Plan prihoda za unos u SAP'!$K$3:$K$501,"=722")</f>
        <v>0</v>
      </c>
      <c r="I72" s="187">
        <f>SUMIFS('Plan prihoda za unos u SAP'!$H$3:$H$501,'Plan prihoda za unos u SAP'!$C$3:$C$501,"=43",'Plan prihoda za unos u SAP'!$K$3:$K$501,"=722")</f>
        <v>0</v>
      </c>
      <c r="J72" s="187">
        <f>SUMIFS('Plan prihoda za unos u SAP'!$H$3:$H$501,'Plan prihoda za unos u SAP'!$C$3:$C$501,"=51",'Plan prihoda za unos u SAP'!$K$3:$K$501,"=722")</f>
        <v>0</v>
      </c>
      <c r="K72" s="187">
        <f>SUMIFS('Plan prihoda za unos u SAP'!$H$3:$H$501,'Plan prihoda za unos u SAP'!$C$3:$C$501,"=52",'Plan prihoda za unos u SAP'!$K$3:$K$501,"=722")</f>
        <v>0</v>
      </c>
      <c r="L72" s="187">
        <f>SUMIFS('Plan prihoda za unos u SAP'!$H$3:$H$501,'Plan prihoda za unos u SAP'!$C$3:$C$501,"=552",'Plan prihoda za unos u SAP'!$K$3:$K$501,"=722")</f>
        <v>0</v>
      </c>
      <c r="M72" s="187">
        <f>SUMIFS('Plan prihoda za unos u SAP'!$H$3:$H$501,'Plan prihoda za unos u SAP'!$C$3:$C$501,"=559",'Plan prihoda za unos u SAP'!$K$3:$K$501,"=722")</f>
        <v>0</v>
      </c>
      <c r="N72" s="187">
        <f>SUMIFS('Plan prihoda za unos u SAP'!$H$3:$H$501,'Plan prihoda za unos u SAP'!$C$3:$C$501,"=561",'Plan prihoda za unos u SAP'!$K$3:$K$501,"=722")</f>
        <v>0</v>
      </c>
      <c r="O72" s="187">
        <f>SUMIFS('Plan prihoda za unos u SAP'!$H$3:$H$501,'Plan prihoda za unos u SAP'!$C$3:$C$501,"=563",'Plan prihoda za unos u SAP'!$K$3:$K$501,"=722")</f>
        <v>0</v>
      </c>
      <c r="P72" s="187">
        <f>SUMIFS('Plan prihoda za unos u SAP'!$H$3:$H$501,'Plan prihoda za unos u SAP'!$C$3:$C$501,"=573",'Plan prihoda za unos u SAP'!$K$3:$K$501,"=722")</f>
        <v>0</v>
      </c>
      <c r="Q72" s="187">
        <f>SUMIFS('Plan prihoda za unos u SAP'!$H$3:$H$501,'Plan prihoda za unos u SAP'!$C$3:$C$501,"=575",'Plan prihoda za unos u SAP'!$K$3:$K$501,"=722")</f>
        <v>0</v>
      </c>
      <c r="R72" s="187">
        <f>SUMIFS('Plan prihoda za unos u SAP'!$H$3:$H$501,'Plan prihoda za unos u SAP'!$C$3:$C$501,"=576",'Plan prihoda za unos u SAP'!$K$3:$K$501,"=722")</f>
        <v>0</v>
      </c>
      <c r="S72" s="187">
        <f>SUMIFS('Plan prihoda za unos u SAP'!$H$3:$H$501,'Plan prihoda za unos u SAP'!$C$3:$C$501,"=61",'Plan prihoda za unos u SAP'!$K$3:$K$501,"=722")</f>
        <v>0</v>
      </c>
      <c r="T72" s="187">
        <f>SUMIFS('Plan prihoda za unos u SAP'!$H$3:$H$501,'Plan prihoda za unos u SAP'!$C$3:$C$501,"=63",'Plan prihoda za unos u SAP'!$K$3:$K$501,"=722")</f>
        <v>0</v>
      </c>
      <c r="U72" s="187">
        <f>SUMIFS('Plan prihoda za unos u SAP'!$H$3:$H$501,'Plan prihoda za unos u SAP'!$C$3:$C$501,"=71",'Plan prihoda za unos u SAP'!$K$3:$K$501,"=722")</f>
        <v>0</v>
      </c>
      <c r="V72" s="187">
        <f>SUMIFS('Plan prihoda za unos u SAP'!$H$3:$H$501,'Plan prihoda za unos u SAP'!$C$3:$C$501,"=81",'Plan prihoda za unos u SAP'!$K$3:$K$501,"=722")</f>
        <v>0</v>
      </c>
      <c r="W72" s="187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2164</v>
      </c>
      <c r="C73" s="100" t="s">
        <v>2165</v>
      </c>
      <c r="D73" s="70">
        <f t="shared" si="12"/>
        <v>0</v>
      </c>
      <c r="E73" s="187">
        <f>SUMIFS('Plan prihoda za unos u SAP'!$H$3:$H$501,'Plan prihoda za unos u SAP'!$C$3:$C$501,"=11",'Plan prihoda za unos u SAP'!$K$3:$K$501,"=723")</f>
        <v>0</v>
      </c>
      <c r="F73" s="187">
        <f>SUMIFS('Plan prihoda za unos u SAP'!$H$3:$H$501,'Plan prihoda za unos u SAP'!$C$3:$C$501,"=12",'Plan prihoda za unos u SAP'!$K$3:$K$501,"=723")</f>
        <v>0</v>
      </c>
      <c r="G73" s="187">
        <f>SUMIFS('Plan prihoda za unos u SAP'!$H$3:$H$501,'Plan prihoda za unos u SAP'!$C$3:$C$501,"=31",'Plan prihoda za unos u SAP'!$K$3:$K$501,"=723")</f>
        <v>0</v>
      </c>
      <c r="H73" s="187">
        <f>SUMIFS('Plan prihoda za unos u SAP'!$H$3:$H$501,'Plan prihoda za unos u SAP'!$C$3:$C$501,"=41",'Plan prihoda za unos u SAP'!$K$3:$K$501,"=723")</f>
        <v>0</v>
      </c>
      <c r="I73" s="187">
        <f>SUMIFS('Plan prihoda za unos u SAP'!$H$3:$H$501,'Plan prihoda za unos u SAP'!$C$3:$C$501,"=43",'Plan prihoda za unos u SAP'!$K$3:$K$501,"=723")</f>
        <v>0</v>
      </c>
      <c r="J73" s="187">
        <f>SUMIFS('Plan prihoda za unos u SAP'!$H$3:$H$501,'Plan prihoda za unos u SAP'!$C$3:$C$501,"=51",'Plan prihoda za unos u SAP'!$K$3:$K$501,"=723")</f>
        <v>0</v>
      </c>
      <c r="K73" s="187">
        <f>SUMIFS('Plan prihoda za unos u SAP'!$H$3:$H$501,'Plan prihoda za unos u SAP'!$C$3:$C$501,"=52",'Plan prihoda za unos u SAP'!$K$3:$K$501,"=723")</f>
        <v>0</v>
      </c>
      <c r="L73" s="187">
        <f>SUMIFS('Plan prihoda za unos u SAP'!$H$3:$H$501,'Plan prihoda za unos u SAP'!$C$3:$C$501,"=552",'Plan prihoda za unos u SAP'!$K$3:$K$501,"=723")</f>
        <v>0</v>
      </c>
      <c r="M73" s="187">
        <f>SUMIFS('Plan prihoda za unos u SAP'!$H$3:$H$501,'Plan prihoda za unos u SAP'!$C$3:$C$501,"=559",'Plan prihoda za unos u SAP'!$K$3:$K$501,"=723")</f>
        <v>0</v>
      </c>
      <c r="N73" s="187">
        <f>SUMIFS('Plan prihoda za unos u SAP'!$H$3:$H$501,'Plan prihoda za unos u SAP'!$C$3:$C$501,"=561",'Plan prihoda za unos u SAP'!$K$3:$K$501,"=723")</f>
        <v>0</v>
      </c>
      <c r="O73" s="187">
        <f>SUMIFS('Plan prihoda za unos u SAP'!$H$3:$H$501,'Plan prihoda za unos u SAP'!$C$3:$C$501,"=563",'Plan prihoda za unos u SAP'!$K$3:$K$501,"=723")</f>
        <v>0</v>
      </c>
      <c r="P73" s="187">
        <f>SUMIFS('Plan prihoda za unos u SAP'!$H$3:$H$501,'Plan prihoda za unos u SAP'!$C$3:$C$501,"=573",'Plan prihoda za unos u SAP'!$K$3:$K$501,"=723")</f>
        <v>0</v>
      </c>
      <c r="Q73" s="187">
        <f>SUMIFS('Plan prihoda za unos u SAP'!$H$3:$H$501,'Plan prihoda za unos u SAP'!$C$3:$C$501,"=575",'Plan prihoda za unos u SAP'!$K$3:$K$501,"=723")</f>
        <v>0</v>
      </c>
      <c r="R73" s="187">
        <f>SUMIFS('Plan prihoda za unos u SAP'!$H$3:$H$501,'Plan prihoda za unos u SAP'!$C$3:$C$501,"=576",'Plan prihoda za unos u SAP'!$K$3:$K$501,"=723")</f>
        <v>0</v>
      </c>
      <c r="S73" s="187">
        <f>SUMIFS('Plan prihoda za unos u SAP'!$H$3:$H$501,'Plan prihoda za unos u SAP'!$C$3:$C$501,"=61",'Plan prihoda za unos u SAP'!$K$3:$K$501,"=723")</f>
        <v>0</v>
      </c>
      <c r="T73" s="187">
        <f>SUMIFS('Plan prihoda za unos u SAP'!$H$3:$H$501,'Plan prihoda za unos u SAP'!$C$3:$C$501,"=63",'Plan prihoda za unos u SAP'!$K$3:$K$501,"=723")</f>
        <v>0</v>
      </c>
      <c r="U73" s="187">
        <f>SUMIFS('Plan prihoda za unos u SAP'!$H$3:$H$501,'Plan prihoda za unos u SAP'!$C$3:$C$501,"=71",'Plan prihoda za unos u SAP'!$K$3:$K$501,"=723")</f>
        <v>0</v>
      </c>
      <c r="V73" s="187">
        <f>SUMIFS('Plan prihoda za unos u SAP'!$H$3:$H$501,'Plan prihoda za unos u SAP'!$C$3:$C$501,"=81",'Plan prihoda za unos u SAP'!$K$3:$K$501,"=723")</f>
        <v>0</v>
      </c>
      <c r="W73" s="187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2166</v>
      </c>
      <c r="C74" s="100" t="s">
        <v>2167</v>
      </c>
      <c r="D74" s="70">
        <f t="shared" si="12"/>
        <v>0</v>
      </c>
      <c r="E74" s="187">
        <f>SUMIFS('Plan prihoda za unos u SAP'!$H$3:$H$501,'Plan prihoda za unos u SAP'!$C$3:$C$501,"=11",'Plan prihoda za unos u SAP'!$K$3:$K$501,"=725")</f>
        <v>0</v>
      </c>
      <c r="F74" s="187">
        <f>SUMIFS('Plan prihoda za unos u SAP'!$H$3:$H$501,'Plan prihoda za unos u SAP'!$C$3:$C$501,"=12",'Plan prihoda za unos u SAP'!$K$3:$K$501,"=725")</f>
        <v>0</v>
      </c>
      <c r="G74" s="187">
        <f>SUMIFS('Plan prihoda za unos u SAP'!$H$3:$H$501,'Plan prihoda za unos u SAP'!$C$3:$C$501,"=31",'Plan prihoda za unos u SAP'!$K$3:$K$501,"=725")</f>
        <v>0</v>
      </c>
      <c r="H74" s="187">
        <f>SUMIFS('Plan prihoda za unos u SAP'!$H$3:$H$501,'Plan prihoda za unos u SAP'!$C$3:$C$501,"=41",'Plan prihoda za unos u SAP'!$K$3:$K$501,"=725")</f>
        <v>0</v>
      </c>
      <c r="I74" s="187">
        <f>SUMIFS('Plan prihoda za unos u SAP'!$H$3:$H$501,'Plan prihoda za unos u SAP'!$C$3:$C$501,"=43",'Plan prihoda za unos u SAP'!$K$3:$K$501,"=725")</f>
        <v>0</v>
      </c>
      <c r="J74" s="187">
        <f>SUMIFS('Plan prihoda za unos u SAP'!$H$3:$H$501,'Plan prihoda za unos u SAP'!$C$3:$C$501,"=51",'Plan prihoda za unos u SAP'!$K$3:$K$501,"=725")</f>
        <v>0</v>
      </c>
      <c r="K74" s="187">
        <f>SUMIFS('Plan prihoda za unos u SAP'!$H$3:$H$501,'Plan prihoda za unos u SAP'!$C$3:$C$501,"=52",'Plan prihoda za unos u SAP'!$K$3:$K$501,"=725")</f>
        <v>0</v>
      </c>
      <c r="L74" s="187">
        <f>SUMIFS('Plan prihoda za unos u SAP'!$H$3:$H$501,'Plan prihoda za unos u SAP'!$C$3:$C$501,"=552",'Plan prihoda za unos u SAP'!$K$3:$K$501,"=725")</f>
        <v>0</v>
      </c>
      <c r="M74" s="187">
        <f>SUMIFS('Plan prihoda za unos u SAP'!$H$3:$H$501,'Plan prihoda za unos u SAP'!$C$3:$C$501,"=559",'Plan prihoda za unos u SAP'!$K$3:$K$501,"=725")</f>
        <v>0</v>
      </c>
      <c r="N74" s="187">
        <f>SUMIFS('Plan prihoda za unos u SAP'!$H$3:$H$501,'Plan prihoda za unos u SAP'!$C$3:$C$501,"=561",'Plan prihoda za unos u SAP'!$K$3:$K$501,"=725")</f>
        <v>0</v>
      </c>
      <c r="O74" s="187">
        <f>SUMIFS('Plan prihoda za unos u SAP'!$H$3:$H$501,'Plan prihoda za unos u SAP'!$C$3:$C$501,"=563",'Plan prihoda za unos u SAP'!$K$3:$K$501,"=725")</f>
        <v>0</v>
      </c>
      <c r="P74" s="187">
        <f>SUMIFS('Plan prihoda za unos u SAP'!$H$3:$H$501,'Plan prihoda za unos u SAP'!$C$3:$C$501,"=573",'Plan prihoda za unos u SAP'!$K$3:$K$501,"=725")</f>
        <v>0</v>
      </c>
      <c r="Q74" s="187">
        <f>SUMIFS('Plan prihoda za unos u SAP'!$H$3:$H$501,'Plan prihoda za unos u SAP'!$C$3:$C$501,"=575",'Plan prihoda za unos u SAP'!$K$3:$K$501,"=725")</f>
        <v>0</v>
      </c>
      <c r="R74" s="187">
        <f>SUMIFS('Plan prihoda za unos u SAP'!$H$3:$H$501,'Plan prihoda za unos u SAP'!$C$3:$C$501,"=576",'Plan prihoda za unos u SAP'!$K$3:$K$501,"=725")</f>
        <v>0</v>
      </c>
      <c r="S74" s="187">
        <f>SUMIFS('Plan prihoda za unos u SAP'!$H$3:$H$501,'Plan prihoda za unos u SAP'!$C$3:$C$501,"=61",'Plan prihoda za unos u SAP'!$K$3:$K$501,"=725")</f>
        <v>0</v>
      </c>
      <c r="T74" s="187">
        <f>SUMIFS('Plan prihoda za unos u SAP'!$H$3:$H$501,'Plan prihoda za unos u SAP'!$C$3:$C$501,"=63",'Plan prihoda za unos u SAP'!$K$3:$K$501,"=725")</f>
        <v>0</v>
      </c>
      <c r="U74" s="187">
        <f>SUMIFS('Plan prihoda za unos u SAP'!$H$3:$H$501,'Plan prihoda za unos u SAP'!$C$3:$C$501,"=71",'Plan prihoda za unos u SAP'!$K$3:$K$501,"=725")</f>
        <v>0</v>
      </c>
      <c r="V74" s="187">
        <f>SUMIFS('Plan prihoda za unos u SAP'!$H$3:$H$501,'Plan prihoda za unos u SAP'!$C$3:$C$501,"=81",'Plan prihoda za unos u SAP'!$K$3:$K$501,"=725")</f>
        <v>0</v>
      </c>
      <c r="W74" s="187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2168</v>
      </c>
      <c r="C75" s="99" t="s">
        <v>2155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2169</v>
      </c>
      <c r="D76" s="70">
        <f t="shared" si="12"/>
        <v>0</v>
      </c>
      <c r="E76" s="187">
        <f>SUMIFS('Plan prihoda za unos u SAP'!$H$3:$H$501,'Plan prihoda za unos u SAP'!$C$3:$C$501,"=11",'Plan prihoda za unos u SAP'!$K$3:$K$501,"=812")</f>
        <v>0</v>
      </c>
      <c r="F76" s="187">
        <f>SUMIFS('Plan prihoda za unos u SAP'!$H$3:$H$501,'Plan prihoda za unos u SAP'!$C$3:$C$501,"=12",'Plan prihoda za unos u SAP'!$K$3:$K$501,"=812")</f>
        <v>0</v>
      </c>
      <c r="G76" s="187">
        <f>SUMIFS('Plan prihoda za unos u SAP'!$H$3:$H$501,'Plan prihoda za unos u SAP'!$C$3:$C$501,"=31",'Plan prihoda za unos u SAP'!$K$3:$K$501,"=812")</f>
        <v>0</v>
      </c>
      <c r="H76" s="187">
        <f>SUMIFS('Plan prihoda za unos u SAP'!$H$3:$H$501,'Plan prihoda za unos u SAP'!$C$3:$C$501,"=41",'Plan prihoda za unos u SAP'!$K$3:$K$501,"=812")</f>
        <v>0</v>
      </c>
      <c r="I76" s="187">
        <f>SUMIFS('Plan prihoda za unos u SAP'!$H$3:$H$501,'Plan prihoda za unos u SAP'!$C$3:$C$501,"=43",'Plan prihoda za unos u SAP'!$K$3:$K$501,"=812")</f>
        <v>0</v>
      </c>
      <c r="J76" s="187">
        <f>SUMIFS('Plan prihoda za unos u SAP'!$H$3:$H$501,'Plan prihoda za unos u SAP'!$C$3:$C$501,"=51",'Plan prihoda za unos u SAP'!$K$3:$K$501,"=812")</f>
        <v>0</v>
      </c>
      <c r="K76" s="187">
        <f>SUMIFS('Plan prihoda za unos u SAP'!$H$3:$H$501,'Plan prihoda za unos u SAP'!$C$3:$C$501,"=52",'Plan prihoda za unos u SAP'!$K$3:$K$501,"=812")</f>
        <v>0</v>
      </c>
      <c r="L76" s="187">
        <f>SUMIFS('Plan prihoda za unos u SAP'!$H$3:$H$501,'Plan prihoda za unos u SAP'!$C$3:$C$501,"=552",'Plan prihoda za unos u SAP'!$K$3:$K$501,"=812")</f>
        <v>0</v>
      </c>
      <c r="M76" s="187">
        <f>SUMIFS('Plan prihoda za unos u SAP'!$H$3:$H$501,'Plan prihoda za unos u SAP'!$C$3:$C$501,"=559",'Plan prihoda za unos u SAP'!$K$3:$K$501,"=812")</f>
        <v>0</v>
      </c>
      <c r="N76" s="187">
        <f>SUMIFS('Plan prihoda za unos u SAP'!$H$3:$H$501,'Plan prihoda za unos u SAP'!$C$3:$C$501,"=561",'Plan prihoda za unos u SAP'!$K$3:$K$501,"=812")</f>
        <v>0</v>
      </c>
      <c r="O76" s="187">
        <f>SUMIFS('Plan prihoda za unos u SAP'!$H$3:$H$501,'Plan prihoda za unos u SAP'!$C$3:$C$501,"=563",'Plan prihoda za unos u SAP'!$K$3:$K$501,"=812")</f>
        <v>0</v>
      </c>
      <c r="P76" s="187">
        <f>SUMIFS('Plan prihoda za unos u SAP'!$H$3:$H$501,'Plan prihoda za unos u SAP'!$C$3:$C$501,"=573",'Plan prihoda za unos u SAP'!$K$3:$K$501,"=812")</f>
        <v>0</v>
      </c>
      <c r="Q76" s="187">
        <f>SUMIFS('Plan prihoda za unos u SAP'!$H$3:$H$501,'Plan prihoda za unos u SAP'!$C$3:$C$501,"=575",'Plan prihoda za unos u SAP'!$K$3:$K$501,"=812")</f>
        <v>0</v>
      </c>
      <c r="R76" s="187">
        <f>SUMIFS('Plan prihoda za unos u SAP'!$H$3:$H$501,'Plan prihoda za unos u SAP'!$C$3:$C$501,"=576",'Plan prihoda za unos u SAP'!$K$3:$K$501,"=812")</f>
        <v>0</v>
      </c>
      <c r="S76" s="187">
        <f>SUMIFS('Plan prihoda za unos u SAP'!$H$3:$H$501,'Plan prihoda za unos u SAP'!$C$3:$C$501,"=61",'Plan prihoda za unos u SAP'!$K$3:$K$501,"=812")</f>
        <v>0</v>
      </c>
      <c r="T76" s="187">
        <f>SUMIFS('Plan prihoda za unos u SAP'!$H$3:$H$501,'Plan prihoda za unos u SAP'!$C$3:$C$501,"=63",'Plan prihoda za unos u SAP'!$K$3:$K$501,"=812")</f>
        <v>0</v>
      </c>
      <c r="U76" s="187">
        <f>SUMIFS('Plan prihoda za unos u SAP'!$H$3:$H$501,'Plan prihoda za unos u SAP'!$C$3:$C$501,"=71",'Plan prihoda za unos u SAP'!$K$3:$K$501,"=812")</f>
        <v>0</v>
      </c>
      <c r="V76" s="187">
        <f>SUMIFS('Plan prihoda za unos u SAP'!$H$3:$H$501,'Plan prihoda za unos u SAP'!$C$3:$C$501,"=81",'Plan prihoda za unos u SAP'!$K$3:$K$501,"=812")</f>
        <v>0</v>
      </c>
      <c r="W76" s="187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2170</v>
      </c>
      <c r="D77" s="70">
        <f t="shared" si="12"/>
        <v>0</v>
      </c>
      <c r="E77" s="187">
        <f>SUMIFS('Plan prihoda za unos u SAP'!$H$3:$H$501,'Plan prihoda za unos u SAP'!$C$3:$C$501,"=11",'Plan prihoda za unos u SAP'!$K$3:$K$501,"=818")</f>
        <v>0</v>
      </c>
      <c r="F77" s="187">
        <f>SUMIFS('Plan prihoda za unos u SAP'!$H$3:$H$501,'Plan prihoda za unos u SAP'!$C$3:$C$501,"=12",'Plan prihoda za unos u SAP'!$K$3:$K$501,"=818")</f>
        <v>0</v>
      </c>
      <c r="G77" s="187">
        <f>SUMIFS('Plan prihoda za unos u SAP'!$H$3:$H$501,'Plan prihoda za unos u SAP'!$C$3:$C$501,"=31",'Plan prihoda za unos u SAP'!$K$3:$K$501,"=818")</f>
        <v>0</v>
      </c>
      <c r="H77" s="187">
        <f>SUMIFS('Plan prihoda za unos u SAP'!$H$3:$H$501,'Plan prihoda za unos u SAP'!$C$3:$C$501,"=41",'Plan prihoda za unos u SAP'!$K$3:$K$501,"=818")</f>
        <v>0</v>
      </c>
      <c r="I77" s="187">
        <f>SUMIFS('Plan prihoda za unos u SAP'!$H$3:$H$501,'Plan prihoda za unos u SAP'!$C$3:$C$501,"=43",'Plan prihoda za unos u SAP'!$K$3:$K$501,"=818")</f>
        <v>0</v>
      </c>
      <c r="J77" s="187">
        <f>SUMIFS('Plan prihoda za unos u SAP'!$H$3:$H$501,'Plan prihoda za unos u SAP'!$C$3:$C$501,"=51",'Plan prihoda za unos u SAP'!$K$3:$K$501,"=818")</f>
        <v>0</v>
      </c>
      <c r="K77" s="187">
        <f>SUMIFS('Plan prihoda za unos u SAP'!$H$3:$H$501,'Plan prihoda za unos u SAP'!$C$3:$C$501,"=52",'Plan prihoda za unos u SAP'!$K$3:$K$501,"=818")</f>
        <v>0</v>
      </c>
      <c r="L77" s="187">
        <f>SUMIFS('Plan prihoda za unos u SAP'!$H$3:$H$501,'Plan prihoda za unos u SAP'!$C$3:$C$501,"=552",'Plan prihoda za unos u SAP'!$K$3:$K$501,"=818")</f>
        <v>0</v>
      </c>
      <c r="M77" s="187">
        <f>SUMIFS('Plan prihoda za unos u SAP'!$H$3:$H$501,'Plan prihoda za unos u SAP'!$C$3:$C$501,"=559",'Plan prihoda za unos u SAP'!$K$3:$K$501,"=818")</f>
        <v>0</v>
      </c>
      <c r="N77" s="187">
        <f>SUMIFS('Plan prihoda za unos u SAP'!$H$3:$H$501,'Plan prihoda za unos u SAP'!$C$3:$C$501,"=561",'Plan prihoda za unos u SAP'!$K$3:$K$501,"=818")</f>
        <v>0</v>
      </c>
      <c r="O77" s="187">
        <f>SUMIFS('Plan prihoda za unos u SAP'!$H$3:$H$501,'Plan prihoda za unos u SAP'!$C$3:$C$501,"=563",'Plan prihoda za unos u SAP'!$K$3:$K$501,"=818")</f>
        <v>0</v>
      </c>
      <c r="P77" s="187">
        <f>SUMIFS('Plan prihoda za unos u SAP'!$H$3:$H$501,'Plan prihoda za unos u SAP'!$C$3:$C$501,"=573",'Plan prihoda za unos u SAP'!$K$3:$K$501,"=818")</f>
        <v>0</v>
      </c>
      <c r="Q77" s="187">
        <f>SUMIFS('Plan prihoda za unos u SAP'!$H$3:$H$501,'Plan prihoda za unos u SAP'!$C$3:$C$501,"=575",'Plan prihoda za unos u SAP'!$K$3:$K$501,"=818")</f>
        <v>0</v>
      </c>
      <c r="R77" s="187">
        <f>SUMIFS('Plan prihoda za unos u SAP'!$H$3:$H$501,'Plan prihoda za unos u SAP'!$C$3:$C$501,"=576",'Plan prihoda za unos u SAP'!$K$3:$K$501,"=818")</f>
        <v>0</v>
      </c>
      <c r="S77" s="187">
        <f>SUMIFS('Plan prihoda za unos u SAP'!$H$3:$H$501,'Plan prihoda za unos u SAP'!$C$3:$C$501,"=61",'Plan prihoda za unos u SAP'!$K$3:$K$501,"=818")</f>
        <v>0</v>
      </c>
      <c r="T77" s="187">
        <f>SUMIFS('Plan prihoda za unos u SAP'!$H$3:$H$501,'Plan prihoda za unos u SAP'!$C$3:$C$501,"=63",'Plan prihoda za unos u SAP'!$K$3:$K$501,"=818")</f>
        <v>0</v>
      </c>
      <c r="U77" s="187">
        <f>SUMIFS('Plan prihoda za unos u SAP'!$H$3:$H$501,'Plan prihoda za unos u SAP'!$C$3:$C$501,"=71",'Plan prihoda za unos u SAP'!$K$3:$K$501,"=818")</f>
        <v>0</v>
      </c>
      <c r="V77" s="187">
        <f>SUMIFS('Plan prihoda za unos u SAP'!$H$3:$H$501,'Plan prihoda za unos u SAP'!$C$3:$C$501,"=81",'Plan prihoda za unos u SAP'!$K$3:$K$501,"=818")</f>
        <v>0</v>
      </c>
      <c r="W77" s="187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2171</v>
      </c>
      <c r="D78" s="70">
        <f t="shared" si="12"/>
        <v>0</v>
      </c>
      <c r="E78" s="187">
        <f>SUMIFS('Plan prihoda za unos u SAP'!$H$3:$H$501,'Plan prihoda za unos u SAP'!$C$3:$C$501,"=11",'Plan prihoda za unos u SAP'!$K$3:$K$501,"=832")</f>
        <v>0</v>
      </c>
      <c r="F78" s="187">
        <f>SUMIFS('Plan prihoda za unos u SAP'!$H$3:$H$501,'Plan prihoda za unos u SAP'!$C$3:$C$501,"=12",'Plan prihoda za unos u SAP'!$K$3:$K$501,"=832")</f>
        <v>0</v>
      </c>
      <c r="G78" s="187">
        <f>SUMIFS('Plan prihoda za unos u SAP'!$H$3:$H$501,'Plan prihoda za unos u SAP'!$C$3:$C$501,"=31",'Plan prihoda za unos u SAP'!$K$3:$K$501,"=832")</f>
        <v>0</v>
      </c>
      <c r="H78" s="187">
        <f>SUMIFS('Plan prihoda za unos u SAP'!$H$3:$H$501,'Plan prihoda za unos u SAP'!$C$3:$C$501,"=41",'Plan prihoda za unos u SAP'!$K$3:$K$501,"=832")</f>
        <v>0</v>
      </c>
      <c r="I78" s="187">
        <f>SUMIFS('Plan prihoda za unos u SAP'!$H$3:$H$501,'Plan prihoda za unos u SAP'!$C$3:$C$501,"=43",'Plan prihoda za unos u SAP'!$K$3:$K$501,"=832")</f>
        <v>0</v>
      </c>
      <c r="J78" s="187">
        <f>SUMIFS('Plan prihoda za unos u SAP'!$H$3:$H$501,'Plan prihoda za unos u SAP'!$C$3:$C$501,"=51",'Plan prihoda za unos u SAP'!$K$3:$K$501,"=832")</f>
        <v>0</v>
      </c>
      <c r="K78" s="187">
        <f>SUMIFS('Plan prihoda za unos u SAP'!$H$3:$H$501,'Plan prihoda za unos u SAP'!$C$3:$C$501,"=52",'Plan prihoda za unos u SAP'!$K$3:$K$501,"=832")</f>
        <v>0</v>
      </c>
      <c r="L78" s="187">
        <f>SUMIFS('Plan prihoda za unos u SAP'!$H$3:$H$501,'Plan prihoda za unos u SAP'!$C$3:$C$501,"=552",'Plan prihoda za unos u SAP'!$K$3:$K$501,"=832")</f>
        <v>0</v>
      </c>
      <c r="M78" s="187">
        <f>SUMIFS('Plan prihoda za unos u SAP'!$H$3:$H$501,'Plan prihoda za unos u SAP'!$C$3:$C$501,"=559",'Plan prihoda za unos u SAP'!$K$3:$K$501,"=832")</f>
        <v>0</v>
      </c>
      <c r="N78" s="187">
        <f>SUMIFS('Plan prihoda za unos u SAP'!$H$3:$H$501,'Plan prihoda za unos u SAP'!$C$3:$C$501,"=561",'Plan prihoda za unos u SAP'!$K$3:$K$501,"=832")</f>
        <v>0</v>
      </c>
      <c r="O78" s="187">
        <f>SUMIFS('Plan prihoda za unos u SAP'!$H$3:$H$501,'Plan prihoda za unos u SAP'!$C$3:$C$501,"=563",'Plan prihoda za unos u SAP'!$K$3:$K$501,"=832")</f>
        <v>0</v>
      </c>
      <c r="P78" s="187">
        <f>SUMIFS('Plan prihoda za unos u SAP'!$H$3:$H$501,'Plan prihoda za unos u SAP'!$C$3:$C$501,"=573",'Plan prihoda za unos u SAP'!$K$3:$K$501,"=832")</f>
        <v>0</v>
      </c>
      <c r="Q78" s="187">
        <f>SUMIFS('Plan prihoda za unos u SAP'!$H$3:$H$501,'Plan prihoda za unos u SAP'!$C$3:$C$501,"=575",'Plan prihoda za unos u SAP'!$K$3:$K$501,"=832")</f>
        <v>0</v>
      </c>
      <c r="R78" s="187">
        <f>SUMIFS('Plan prihoda za unos u SAP'!$H$3:$H$501,'Plan prihoda za unos u SAP'!$C$3:$C$501,"=576",'Plan prihoda za unos u SAP'!$K$3:$K$501,"=832")</f>
        <v>0</v>
      </c>
      <c r="S78" s="187">
        <f>SUMIFS('Plan prihoda za unos u SAP'!$H$3:$H$501,'Plan prihoda za unos u SAP'!$C$3:$C$501,"=61",'Plan prihoda za unos u SAP'!$K$3:$K$501,"=832")</f>
        <v>0</v>
      </c>
      <c r="T78" s="187">
        <f>SUMIFS('Plan prihoda za unos u SAP'!$H$3:$H$501,'Plan prihoda za unos u SAP'!$C$3:$C$501,"=63",'Plan prihoda za unos u SAP'!$K$3:$K$501,"=832")</f>
        <v>0</v>
      </c>
      <c r="U78" s="187">
        <f>SUMIFS('Plan prihoda za unos u SAP'!$H$3:$H$501,'Plan prihoda za unos u SAP'!$C$3:$C$501,"=71",'Plan prihoda za unos u SAP'!$K$3:$K$501,"=832")</f>
        <v>0</v>
      </c>
      <c r="V78" s="187">
        <f>SUMIFS('Plan prihoda za unos u SAP'!$H$3:$H$501,'Plan prihoda za unos u SAP'!$C$3:$C$501,"=81",'Plan prihoda za unos u SAP'!$K$3:$K$501,"=832")</f>
        <v>0</v>
      </c>
      <c r="W78" s="187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2172</v>
      </c>
      <c r="D79" s="70">
        <f t="shared" ref="D79" si="19">SUM(E79:W79)</f>
        <v>0</v>
      </c>
      <c r="E79" s="187">
        <f>SUMIFS('Plan prihoda za unos u SAP'!$H$3:$H$501,'Plan prihoda za unos u SAP'!$C$3:$C$501,"=11",'Plan prihoda za unos u SAP'!$K$3:$K$501,"=833")</f>
        <v>0</v>
      </c>
      <c r="F79" s="187">
        <f>SUMIFS('Plan prihoda za unos u SAP'!$H$3:$H$501,'Plan prihoda za unos u SAP'!$C$3:$C$501,"=12",'Plan prihoda za unos u SAP'!$K$3:$K$501,"=833")</f>
        <v>0</v>
      </c>
      <c r="G79" s="187">
        <f>SUMIFS('Plan prihoda za unos u SAP'!$H$3:$H$501,'Plan prihoda za unos u SAP'!$C$3:$C$501,"=31",'Plan prihoda za unos u SAP'!$K$3:$K$501,"=833")</f>
        <v>0</v>
      </c>
      <c r="H79" s="187">
        <f>SUMIFS('Plan prihoda za unos u SAP'!$H$3:$H$501,'Plan prihoda za unos u SAP'!$C$3:$C$501,"=41",'Plan prihoda za unos u SAP'!$K$3:$K$501,"=833")</f>
        <v>0</v>
      </c>
      <c r="I79" s="187">
        <f>SUMIFS('Plan prihoda za unos u SAP'!$H$3:$H$501,'Plan prihoda za unos u SAP'!$C$3:$C$501,"=43",'Plan prihoda za unos u SAP'!$K$3:$K$501,"=833")</f>
        <v>0</v>
      </c>
      <c r="J79" s="187">
        <f>SUMIFS('Plan prihoda za unos u SAP'!$H$3:$H$501,'Plan prihoda za unos u SAP'!$C$3:$C$501,"=51",'Plan prihoda za unos u SAP'!$K$3:$K$501,"=833")</f>
        <v>0</v>
      </c>
      <c r="K79" s="187">
        <f>SUMIFS('Plan prihoda za unos u SAP'!$H$3:$H$501,'Plan prihoda za unos u SAP'!$C$3:$C$501,"=52",'Plan prihoda za unos u SAP'!$K$3:$K$501,"=833")</f>
        <v>0</v>
      </c>
      <c r="L79" s="187">
        <f>SUMIFS('Plan prihoda za unos u SAP'!$H$3:$H$501,'Plan prihoda za unos u SAP'!$C$3:$C$501,"=552",'Plan prihoda za unos u SAP'!$K$3:$K$501,"=833")</f>
        <v>0</v>
      </c>
      <c r="M79" s="187">
        <f>SUMIFS('Plan prihoda za unos u SAP'!$H$3:$H$501,'Plan prihoda za unos u SAP'!$C$3:$C$501,"=559",'Plan prihoda za unos u SAP'!$K$3:$K$501,"=833")</f>
        <v>0</v>
      </c>
      <c r="N79" s="187">
        <f>SUMIFS('Plan prihoda za unos u SAP'!$H$3:$H$501,'Plan prihoda za unos u SAP'!$C$3:$C$501,"=561",'Plan prihoda za unos u SAP'!$K$3:$K$501,"=833")</f>
        <v>0</v>
      </c>
      <c r="O79" s="187">
        <f>SUMIFS('Plan prihoda za unos u SAP'!$H$3:$H$501,'Plan prihoda za unos u SAP'!$C$3:$C$501,"=563",'Plan prihoda za unos u SAP'!$K$3:$K$501,"=833")</f>
        <v>0</v>
      </c>
      <c r="P79" s="187">
        <f>SUMIFS('Plan prihoda za unos u SAP'!$H$3:$H$501,'Plan prihoda za unos u SAP'!$C$3:$C$501,"=573",'Plan prihoda za unos u SAP'!$K$3:$K$501,"=833")</f>
        <v>0</v>
      </c>
      <c r="Q79" s="187">
        <f>SUMIFS('Plan prihoda za unos u SAP'!$H$3:$H$501,'Plan prihoda za unos u SAP'!$C$3:$C$501,"=575",'Plan prihoda za unos u SAP'!$K$3:$K$501,"=833")</f>
        <v>0</v>
      </c>
      <c r="R79" s="187">
        <f>SUMIFS('Plan prihoda za unos u SAP'!$H$3:$H$501,'Plan prihoda za unos u SAP'!$C$3:$C$501,"=576",'Plan prihoda za unos u SAP'!$K$3:$K$501,"=833")</f>
        <v>0</v>
      </c>
      <c r="S79" s="187">
        <f>SUMIFS('Plan prihoda za unos u SAP'!$H$3:$H$501,'Plan prihoda za unos u SAP'!$C$3:$C$501,"=61",'Plan prihoda za unos u SAP'!$K$3:$K$501,"=833")</f>
        <v>0</v>
      </c>
      <c r="T79" s="187">
        <f>SUMIFS('Plan prihoda za unos u SAP'!$H$3:$H$501,'Plan prihoda za unos u SAP'!$C$3:$C$501,"=63",'Plan prihoda za unos u SAP'!$K$3:$K$501,"=833")</f>
        <v>0</v>
      </c>
      <c r="U79" s="187">
        <f>SUMIFS('Plan prihoda za unos u SAP'!$H$3:$H$501,'Plan prihoda za unos u SAP'!$C$3:$C$501,"=71",'Plan prihoda za unos u SAP'!$K$3:$K$501,"=833")</f>
        <v>0</v>
      </c>
      <c r="V79" s="187">
        <f>SUMIFS('Plan prihoda za unos u SAP'!$H$3:$H$501,'Plan prihoda za unos u SAP'!$C$3:$C$501,"=81",'Plan prihoda za unos u SAP'!$K$3:$K$501,"=833")</f>
        <v>0</v>
      </c>
      <c r="W79" s="187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2173</v>
      </c>
      <c r="D80" s="70">
        <f t="shared" si="12"/>
        <v>0</v>
      </c>
      <c r="E80" s="187">
        <f>SUMIFS('Plan prihoda za unos u SAP'!$H$3:$H$501,'Plan prihoda za unos u SAP'!$C$3:$C$501,"=11",'Plan prihoda za unos u SAP'!$K$3:$K$501,"=841")</f>
        <v>0</v>
      </c>
      <c r="F80" s="187">
        <f>SUMIFS('Plan prihoda za unos u SAP'!$H$3:$H$501,'Plan prihoda za unos u SAP'!$C$3:$C$501,"=12",'Plan prihoda za unos u SAP'!$K$3:$K$501,"=841")</f>
        <v>0</v>
      </c>
      <c r="G80" s="187">
        <f>SUMIFS('Plan prihoda za unos u SAP'!$H$3:$H$501,'Plan prihoda za unos u SAP'!$C$3:$C$501,"=31",'Plan prihoda za unos u SAP'!$K$3:$K$501,"=841")</f>
        <v>0</v>
      </c>
      <c r="H80" s="187">
        <f>SUMIFS('Plan prihoda za unos u SAP'!$H$3:$H$501,'Plan prihoda za unos u SAP'!$C$3:$C$501,"=41",'Plan prihoda za unos u SAP'!$K$3:$K$501,"=841")</f>
        <v>0</v>
      </c>
      <c r="I80" s="187">
        <f>SUMIFS('Plan prihoda za unos u SAP'!$H$3:$H$501,'Plan prihoda za unos u SAP'!$C$3:$C$501,"=43",'Plan prihoda za unos u SAP'!$K$3:$K$501,"=841")</f>
        <v>0</v>
      </c>
      <c r="J80" s="187">
        <f>SUMIFS('Plan prihoda za unos u SAP'!$H$3:$H$501,'Plan prihoda za unos u SAP'!$C$3:$C$501,"=51",'Plan prihoda za unos u SAP'!$K$3:$K$501,"=841")</f>
        <v>0</v>
      </c>
      <c r="K80" s="187">
        <f>SUMIFS('Plan prihoda za unos u SAP'!$H$3:$H$501,'Plan prihoda za unos u SAP'!$C$3:$C$501,"=52",'Plan prihoda za unos u SAP'!$K$3:$K$501,"=841")</f>
        <v>0</v>
      </c>
      <c r="L80" s="187">
        <f>SUMIFS('Plan prihoda za unos u SAP'!$H$3:$H$501,'Plan prihoda za unos u SAP'!$C$3:$C$501,"=552",'Plan prihoda za unos u SAP'!$K$3:$K$501,"=841")</f>
        <v>0</v>
      </c>
      <c r="M80" s="187">
        <f>SUMIFS('Plan prihoda za unos u SAP'!$H$3:$H$501,'Plan prihoda za unos u SAP'!$C$3:$C$501,"=559",'Plan prihoda za unos u SAP'!$K$3:$K$501,"=841")</f>
        <v>0</v>
      </c>
      <c r="N80" s="187">
        <f>SUMIFS('Plan prihoda za unos u SAP'!$H$3:$H$501,'Plan prihoda za unos u SAP'!$C$3:$C$501,"=561",'Plan prihoda za unos u SAP'!$K$3:$K$501,"=841")</f>
        <v>0</v>
      </c>
      <c r="O80" s="187">
        <f>SUMIFS('Plan prihoda za unos u SAP'!$H$3:$H$501,'Plan prihoda za unos u SAP'!$C$3:$C$501,"=563",'Plan prihoda za unos u SAP'!$K$3:$K$501,"=841")</f>
        <v>0</v>
      </c>
      <c r="P80" s="187">
        <f>SUMIFS('Plan prihoda za unos u SAP'!$H$3:$H$501,'Plan prihoda za unos u SAP'!$C$3:$C$501,"=573",'Plan prihoda za unos u SAP'!$K$3:$K$501,"=841")</f>
        <v>0</v>
      </c>
      <c r="Q80" s="187">
        <f>SUMIFS('Plan prihoda za unos u SAP'!$H$3:$H$501,'Plan prihoda za unos u SAP'!$C$3:$C$501,"=575",'Plan prihoda za unos u SAP'!$K$3:$K$501,"=841")</f>
        <v>0</v>
      </c>
      <c r="R80" s="187">
        <f>SUMIFS('Plan prihoda za unos u SAP'!$H$3:$H$501,'Plan prihoda za unos u SAP'!$C$3:$C$501,"=576",'Plan prihoda za unos u SAP'!$K$3:$K$501,"=841")</f>
        <v>0</v>
      </c>
      <c r="S80" s="187">
        <f>SUMIFS('Plan prihoda za unos u SAP'!$H$3:$H$501,'Plan prihoda za unos u SAP'!$C$3:$C$501,"=61",'Plan prihoda za unos u SAP'!$K$3:$K$501,"=841")</f>
        <v>0</v>
      </c>
      <c r="T80" s="187">
        <f>SUMIFS('Plan prihoda za unos u SAP'!$H$3:$H$501,'Plan prihoda za unos u SAP'!$C$3:$C$501,"=63",'Plan prihoda za unos u SAP'!$K$3:$K$501,"=841")</f>
        <v>0</v>
      </c>
      <c r="U80" s="187">
        <f>SUMIFS('Plan prihoda za unos u SAP'!$H$3:$H$501,'Plan prihoda za unos u SAP'!$C$3:$C$501,"=71",'Plan prihoda za unos u SAP'!$K$3:$K$501,"=841")</f>
        <v>0</v>
      </c>
      <c r="V80" s="187">
        <f>SUMIFS('Plan prihoda za unos u SAP'!$H$3:$H$501,'Plan prihoda za unos u SAP'!$C$3:$C$501,"=81",'Plan prihoda za unos u SAP'!$K$3:$K$501,"=841")</f>
        <v>0</v>
      </c>
      <c r="W80" s="187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2174</v>
      </c>
      <c r="D81" s="70">
        <f>SUM(E81:W81)</f>
        <v>0</v>
      </c>
      <c r="E81" s="186">
        <f>SUMIFS('Plan prihoda za unos u SAP'!$H$3:$H$501,'Plan prihoda za unos u SAP'!$C$3:$C$501,"=11",'Plan prihoda za unos u SAP'!$K$3:$K$501,"=842")</f>
        <v>0</v>
      </c>
      <c r="F81" s="186">
        <f>SUMIFS('Plan prihoda za unos u SAP'!$H$3:$H$501,'Plan prihoda za unos u SAP'!$C$3:$C$501,"=12",'Plan prihoda za unos u SAP'!$K$3:$K$501,"=842")</f>
        <v>0</v>
      </c>
      <c r="G81" s="186">
        <f>SUMIFS('Plan prihoda za unos u SAP'!$H$3:$H$501,'Plan prihoda za unos u SAP'!$C$3:$C$501,"=31",'Plan prihoda za unos u SAP'!$K$3:$K$501,"=842")</f>
        <v>0</v>
      </c>
      <c r="H81" s="186">
        <f>SUMIFS('Plan prihoda za unos u SAP'!$H$3:$H$501,'Plan prihoda za unos u SAP'!$C$3:$C$501,"=41",'Plan prihoda za unos u SAP'!$K$3:$K$501,"=842")</f>
        <v>0</v>
      </c>
      <c r="I81" s="186">
        <f>SUMIFS('Plan prihoda za unos u SAP'!$H$3:$H$501,'Plan prihoda za unos u SAP'!$C$3:$C$501,"=43",'Plan prihoda za unos u SAP'!$K$3:$K$501,"=842")</f>
        <v>0</v>
      </c>
      <c r="J81" s="186">
        <f>SUMIFS('Plan prihoda za unos u SAP'!$H$3:$H$501,'Plan prihoda za unos u SAP'!$C$3:$C$501,"=51",'Plan prihoda za unos u SAP'!$K$3:$K$501,"=842")</f>
        <v>0</v>
      </c>
      <c r="K81" s="186">
        <f>SUMIFS('Plan prihoda za unos u SAP'!$H$3:$H$501,'Plan prihoda za unos u SAP'!$C$3:$C$501,"=52",'Plan prihoda za unos u SAP'!$K$3:$K$501,"=842")</f>
        <v>0</v>
      </c>
      <c r="L81" s="186">
        <f>SUMIFS('Plan prihoda za unos u SAP'!$H$3:$H$501,'Plan prihoda za unos u SAP'!$C$3:$C$501,"=552",'Plan prihoda za unos u SAP'!$K$3:$K$501,"=842")</f>
        <v>0</v>
      </c>
      <c r="M81" s="186">
        <f>SUMIFS('Plan prihoda za unos u SAP'!$H$3:$H$501,'Plan prihoda za unos u SAP'!$C$3:$C$501,"=559",'Plan prihoda za unos u SAP'!$K$3:$K$501,"=842")</f>
        <v>0</v>
      </c>
      <c r="N81" s="186">
        <f>SUMIFS('Plan prihoda za unos u SAP'!$H$3:$H$501,'Plan prihoda za unos u SAP'!$C$3:$C$501,"=561",'Plan prihoda za unos u SAP'!$K$3:$K$501,"=842")</f>
        <v>0</v>
      </c>
      <c r="O81" s="186">
        <f>SUMIFS('Plan prihoda za unos u SAP'!$H$3:$H$501,'Plan prihoda za unos u SAP'!$C$3:$C$501,"=563",'Plan prihoda za unos u SAP'!$K$3:$K$501,"=842")</f>
        <v>0</v>
      </c>
      <c r="P81" s="186">
        <f>SUMIFS('Plan prihoda za unos u SAP'!$H$3:$H$501,'Plan prihoda za unos u SAP'!$C$3:$C$501,"=573",'Plan prihoda za unos u SAP'!$K$3:$K$501,"=842")</f>
        <v>0</v>
      </c>
      <c r="Q81" s="186">
        <f>SUMIFS('Plan prihoda za unos u SAP'!$H$3:$H$501,'Plan prihoda za unos u SAP'!$C$3:$C$501,"=575",'Plan prihoda za unos u SAP'!$K$3:$K$501,"=842")</f>
        <v>0</v>
      </c>
      <c r="R81" s="186">
        <f>SUMIFS('Plan prihoda za unos u SAP'!$H$3:$H$501,'Plan prihoda za unos u SAP'!$C$3:$C$501,"=576",'Plan prihoda za unos u SAP'!$K$3:$K$501,"=842")</f>
        <v>0</v>
      </c>
      <c r="S81" s="186">
        <f>SUMIFS('Plan prihoda za unos u SAP'!$H$3:$H$501,'Plan prihoda za unos u SAP'!$C$3:$C$501,"=61",'Plan prihoda za unos u SAP'!$K$3:$K$501,"=842")</f>
        <v>0</v>
      </c>
      <c r="T81" s="186">
        <f>SUMIFS('Plan prihoda za unos u SAP'!$H$3:$H$501,'Plan prihoda za unos u SAP'!$C$3:$C$501,"=63",'Plan prihoda za unos u SAP'!$K$3:$K$501,"=842")</f>
        <v>0</v>
      </c>
      <c r="U81" s="186">
        <f>SUMIFS('Plan prihoda za unos u SAP'!$H$3:$H$501,'Plan prihoda za unos u SAP'!$C$3:$C$501,"=71",'Plan prihoda za unos u SAP'!$K$3:$K$501,"=842")</f>
        <v>0</v>
      </c>
      <c r="V81" s="186">
        <f>SUMIFS('Plan prihoda za unos u SAP'!$H$3:$H$501,'Plan prihoda za unos u SAP'!$C$3:$C$501,"=81",'Plan prihoda za unos u SAP'!$K$3:$K$501,"=842")</f>
        <v>0</v>
      </c>
      <c r="W81" s="186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2175</v>
      </c>
      <c r="C82" s="99" t="s">
        <v>2155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8" t="s">
        <v>2176</v>
      </c>
      <c r="C83" s="298"/>
      <c r="D83" s="71">
        <f>SUM(E83:W83)</f>
        <v>23326100</v>
      </c>
      <c r="E83" s="71">
        <f t="shared" ref="E83:V83" si="21">+E82+E75+E68</f>
        <v>17221670</v>
      </c>
      <c r="F83" s="71">
        <f t="shared" si="21"/>
        <v>0</v>
      </c>
      <c r="G83" s="71">
        <f t="shared" si="21"/>
        <v>2050000</v>
      </c>
      <c r="H83" s="71">
        <f>+H82+H75+H68</f>
        <v>0</v>
      </c>
      <c r="I83" s="71">
        <f t="shared" si="21"/>
        <v>3387700</v>
      </c>
      <c r="J83" s="71">
        <f t="shared" si="21"/>
        <v>378300</v>
      </c>
      <c r="K83" s="71">
        <f t="shared" si="21"/>
        <v>265930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22500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3" t="s">
        <v>2093</v>
      </c>
      <c r="C85" s="294"/>
      <c r="D85" s="295" t="s">
        <v>2178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4"/>
    </row>
    <row r="86" spans="1:29" s="90" customFormat="1" ht="89.25">
      <c r="A86" s="92" t="s">
        <v>2095</v>
      </c>
      <c r="B86" s="92" t="s">
        <v>2096</v>
      </c>
      <c r="C86" s="92" t="s">
        <v>2097</v>
      </c>
      <c r="D86" s="277" t="s">
        <v>2098</v>
      </c>
      <c r="E86" s="135" t="s">
        <v>2099</v>
      </c>
      <c r="F86" s="135" t="s">
        <v>2100</v>
      </c>
      <c r="G86" s="93" t="s">
        <v>2101</v>
      </c>
      <c r="H86" s="93" t="s">
        <v>2102</v>
      </c>
      <c r="I86" s="93" t="s">
        <v>2103</v>
      </c>
      <c r="J86" s="93" t="s">
        <v>2104</v>
      </c>
      <c r="K86" s="93" t="s">
        <v>2105</v>
      </c>
      <c r="L86" s="93" t="s">
        <v>2106</v>
      </c>
      <c r="M86" s="93" t="s">
        <v>2107</v>
      </c>
      <c r="N86" s="134" t="s">
        <v>2108</v>
      </c>
      <c r="O86" s="134" t="s">
        <v>2109</v>
      </c>
      <c r="P86" s="134" t="s">
        <v>2110</v>
      </c>
      <c r="Q86" s="134" t="s">
        <v>2111</v>
      </c>
      <c r="R86" s="93" t="s">
        <v>2112</v>
      </c>
      <c r="S86" s="93" t="s">
        <v>2113</v>
      </c>
      <c r="T86" s="93" t="s">
        <v>2114</v>
      </c>
      <c r="U86" s="93" t="s">
        <v>2115</v>
      </c>
      <c r="V86" s="93" t="s">
        <v>2116</v>
      </c>
      <c r="W86" s="93"/>
    </row>
    <row r="87" spans="1:29" s="90" customFormat="1">
      <c r="A87" s="90">
        <v>2023</v>
      </c>
      <c r="B87" s="95"/>
      <c r="C87" s="96" t="s">
        <v>98</v>
      </c>
      <c r="D87" s="70">
        <f>SUM(E87:W87)</f>
        <v>623500</v>
      </c>
      <c r="E87" s="186">
        <f t="shared" ref="E87:V87" si="22">-E48</f>
        <v>0</v>
      </c>
      <c r="F87" s="186">
        <f t="shared" si="22"/>
        <v>0</v>
      </c>
      <c r="G87" s="186">
        <f t="shared" si="22"/>
        <v>300000</v>
      </c>
      <c r="H87" s="186">
        <f>-H48</f>
        <v>0</v>
      </c>
      <c r="I87" s="186">
        <f t="shared" si="22"/>
        <v>26900</v>
      </c>
      <c r="J87" s="186">
        <f t="shared" si="22"/>
        <v>296600</v>
      </c>
      <c r="K87" s="186">
        <f t="shared" si="22"/>
        <v>0</v>
      </c>
      <c r="L87" s="186">
        <f>-L48</f>
        <v>0</v>
      </c>
      <c r="M87" s="186">
        <f t="shared" si="22"/>
        <v>0</v>
      </c>
      <c r="N87" s="186">
        <f t="shared" si="22"/>
        <v>0</v>
      </c>
      <c r="O87" s="186">
        <f t="shared" si="22"/>
        <v>0</v>
      </c>
      <c r="P87" s="186">
        <f>-P48</f>
        <v>0</v>
      </c>
      <c r="Q87" s="186">
        <f>-Q48</f>
        <v>0</v>
      </c>
      <c r="R87" s="186">
        <f>-R48</f>
        <v>0</v>
      </c>
      <c r="S87" s="186">
        <f t="shared" si="22"/>
        <v>0</v>
      </c>
      <c r="T87" s="186">
        <f t="shared" si="22"/>
        <v>0</v>
      </c>
      <c r="U87" s="186">
        <f t="shared" si="22"/>
        <v>0</v>
      </c>
      <c r="V87" s="186">
        <f t="shared" si="22"/>
        <v>0</v>
      </c>
      <c r="W87" s="186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2118</v>
      </c>
      <c r="D88" s="70">
        <f t="shared" ref="D88:D123" si="23">SUM(E88:W88)</f>
        <v>22424680</v>
      </c>
      <c r="E88" s="14">
        <f t="shared" ref="E88:V88" si="24">+E109+E116</f>
        <v>17298710</v>
      </c>
      <c r="F88" s="14">
        <f t="shared" si="24"/>
        <v>0</v>
      </c>
      <c r="G88" s="14">
        <f t="shared" si="24"/>
        <v>1940000</v>
      </c>
      <c r="H88" s="14">
        <f>+H109+H116</f>
        <v>0</v>
      </c>
      <c r="I88" s="14">
        <f t="shared" si="24"/>
        <v>2909400</v>
      </c>
      <c r="J88" s="14">
        <f t="shared" si="24"/>
        <v>17500</v>
      </c>
      <c r="K88" s="14">
        <f t="shared" si="24"/>
        <v>259070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2119</v>
      </c>
      <c r="D89" s="70">
        <f t="shared" si="23"/>
        <v>0</v>
      </c>
      <c r="E89" s="113"/>
      <c r="F89" s="113"/>
      <c r="G89" s="113"/>
      <c r="H89" s="113"/>
      <c r="I89" s="113"/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2120</v>
      </c>
      <c r="D90" s="70">
        <f t="shared" si="23"/>
        <v>23048180</v>
      </c>
      <c r="E90" s="14">
        <f>+E87+E88+E89</f>
        <v>17298710</v>
      </c>
      <c r="F90" s="14">
        <f t="shared" ref="F90:V90" si="25">+F87+F88+F89</f>
        <v>0</v>
      </c>
      <c r="G90" s="14">
        <f t="shared" si="25"/>
        <v>2240000</v>
      </c>
      <c r="H90" s="14">
        <f>+H87+H88+H89</f>
        <v>0</v>
      </c>
      <c r="I90" s="14">
        <f t="shared" si="25"/>
        <v>2936300</v>
      </c>
      <c r="J90" s="14">
        <f t="shared" si="25"/>
        <v>314100</v>
      </c>
      <c r="K90" s="14">
        <f t="shared" si="25"/>
        <v>259070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2121</v>
      </c>
      <c r="D91" s="70">
        <f t="shared" si="23"/>
        <v>23048180</v>
      </c>
      <c r="E91" s="136">
        <f>+'PLAN RASHODA I IZDATAKA'!E91</f>
        <v>17298710</v>
      </c>
      <c r="F91" s="136">
        <f>+'PLAN RASHODA I IZDATAKA'!F91</f>
        <v>0</v>
      </c>
      <c r="G91" s="136">
        <f>+'PLAN RASHODA I IZDATAKA'!G91</f>
        <v>2240000</v>
      </c>
      <c r="H91" s="136">
        <f>+'PLAN RASHODA I IZDATAKA'!H91</f>
        <v>0</v>
      </c>
      <c r="I91" s="136">
        <f>+'PLAN RASHODA I IZDATAKA'!I91</f>
        <v>2936300</v>
      </c>
      <c r="J91" s="136">
        <f>+'PLAN RASHODA I IZDATAKA'!J91</f>
        <v>314100</v>
      </c>
      <c r="K91" s="136">
        <f>+'PLAN RASHODA I IZDATAKA'!K91</f>
        <v>259070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2122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2123</v>
      </c>
      <c r="C93" s="110" t="s">
        <v>2124</v>
      </c>
      <c r="D93" s="70">
        <f>SUM(E93:W93)</f>
        <v>0</v>
      </c>
      <c r="E93" s="187">
        <f>SUMIFS('Plan prihoda za unos u SAP'!$I$3:$I$501,'Plan prihoda za unos u SAP'!$C$3:$C$501,"=11",'Plan prihoda za unos u SAP'!$K$3:$K$501,"=614")</f>
        <v>0</v>
      </c>
      <c r="F93" s="187">
        <f>SUMIFS('Plan prihoda za unos u SAP'!$I$3:$I$501,'Plan prihoda za unos u SAP'!$C$3:$C$501,"=12",'Plan prihoda za unos u SAP'!$K$3:$K$501,"=614")</f>
        <v>0</v>
      </c>
      <c r="G93" s="187">
        <f>SUMIFS('Plan prihoda za unos u SAP'!$I$3:$I$501,'Plan prihoda za unos u SAP'!$C$3:$C$501,"=31",'Plan prihoda za unos u SAP'!$K$3:$K$501,"=614")</f>
        <v>0</v>
      </c>
      <c r="H93" s="187">
        <f>SUMIFS('Plan prihoda za unos u SAP'!$I$3:$I$501,'Plan prihoda za unos u SAP'!$C$3:$C$501,"=41",'Plan prihoda za unos u SAP'!$K$3:$K$501,"=614")</f>
        <v>0</v>
      </c>
      <c r="I93" s="187">
        <f>SUMIFS('Plan prihoda za unos u SAP'!$I$3:$I$501,'Plan prihoda za unos u SAP'!$C$3:$C$501,"=43",'Plan prihoda za unos u SAP'!$K$3:$K$501,"=614")</f>
        <v>0</v>
      </c>
      <c r="J93" s="187">
        <f>SUMIFS('Plan prihoda za unos u SAP'!$I$3:$I$501,'Plan prihoda za unos u SAP'!$C$3:$C$501,"=51",'Plan prihoda za unos u SAP'!$K$3:$K$501,"=614")</f>
        <v>0</v>
      </c>
      <c r="K93" s="187">
        <f>SUMIFS('Plan prihoda za unos u SAP'!$I$3:$I$501,'Plan prihoda za unos u SAP'!$C$3:$C$501,"=52",'Plan prihoda za unos u SAP'!$K$3:$K$501,"=614")</f>
        <v>0</v>
      </c>
      <c r="L93" s="187">
        <f>SUMIFS('Plan prihoda za unos u SAP'!$I$3:$I$501,'Plan prihoda za unos u SAP'!$C$3:$C$501,"=552",'Plan prihoda za unos u SAP'!$K$3:$K$501,"=614")</f>
        <v>0</v>
      </c>
      <c r="M93" s="187">
        <f>SUMIFS('Plan prihoda za unos u SAP'!$I$3:$I$501,'Plan prihoda za unos u SAP'!$C$3:$C$501,"=559",'Plan prihoda za unos u SAP'!$K$3:$K$501,"=614")</f>
        <v>0</v>
      </c>
      <c r="N93" s="187">
        <f>SUMIFS('Plan prihoda za unos u SAP'!$I$3:$I$501,'Plan prihoda za unos u SAP'!$C$3:$C$501,"=561",'Plan prihoda za unos u SAP'!$K$3:$K$501,"=614")</f>
        <v>0</v>
      </c>
      <c r="O93" s="187">
        <f>SUMIFS('Plan prihoda za unos u SAP'!$I$3:$I$501,'Plan prihoda za unos u SAP'!$C$3:$C$501,"=563",'Plan prihoda za unos u SAP'!$K$3:$K$501,"=614")</f>
        <v>0</v>
      </c>
      <c r="P93" s="187">
        <f>SUMIFS('Plan prihoda za unos u SAP'!$I$3:$I$501,'Plan prihoda za unos u SAP'!$C$3:$C$501,"=573",'Plan prihoda za unos u SAP'!$K$3:$K$501,"=614")</f>
        <v>0</v>
      </c>
      <c r="Q93" s="187">
        <f>SUMIFS('Plan prihoda za unos u SAP'!$I$3:$I$501,'Plan prihoda za unos u SAP'!$C$3:$C$501,"=575",'Plan prihoda za unos u SAP'!$K$3:$K$501,"=614")</f>
        <v>0</v>
      </c>
      <c r="R93" s="187">
        <f>SUMIFS('Plan prihoda za unos u SAP'!$I$3:$I$501,'Plan prihoda za unos u SAP'!$C$3:$C$501,"=576",'Plan prihoda za unos u SAP'!$K$3:$K$501,"=614")</f>
        <v>0</v>
      </c>
      <c r="S93" s="187">
        <f>SUMIFS('Plan prihoda za unos u SAP'!$I$3:$I$501,'Plan prihoda za unos u SAP'!$C$3:$C$501,"=61",'Plan prihoda za unos u SAP'!$K$3:$K$501,"=614")</f>
        <v>0</v>
      </c>
      <c r="T93" s="187">
        <f>SUMIFS('Plan prihoda za unos u SAP'!$I$3:$I$501,'Plan prihoda za unos u SAP'!$C$3:$C$501,"=63",'Plan prihoda za unos u SAP'!$K$3:$K$501,"=614")</f>
        <v>0</v>
      </c>
      <c r="U93" s="187">
        <f>SUMIFS('Plan prihoda za unos u SAP'!$I$3:$I$501,'Plan prihoda za unos u SAP'!$C$3:$C$501,"=71",'Plan prihoda za unos u SAP'!$K$3:$K$501,"=614")</f>
        <v>0</v>
      </c>
      <c r="V93" s="187">
        <f>SUMIFS('Plan prihoda za unos u SAP'!$I$3:$I$501,'Plan prihoda za unos u SAP'!$C$3:$C$501,"=81",'Plan prihoda za unos u SAP'!$K$3:$K$501,"=614")</f>
        <v>0</v>
      </c>
      <c r="W93" s="187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2125</v>
      </c>
      <c r="C94" s="96" t="s">
        <v>2126</v>
      </c>
      <c r="D94" s="70">
        <f t="shared" si="23"/>
        <v>0</v>
      </c>
      <c r="E94" s="187">
        <f>SUMIFS('Plan prihoda za unos u SAP'!$I$3:$I$501,'Plan prihoda za unos u SAP'!$C$3:$C$501,"=11",'Plan prihoda za unos u SAP'!$K$3:$K$501,"=631")</f>
        <v>0</v>
      </c>
      <c r="F94" s="187">
        <f>SUMIFS('Plan prihoda za unos u SAP'!$I$3:$I$501,'Plan prihoda za unos u SAP'!$C$3:$C$501,"=12",'Plan prihoda za unos u SAP'!$K$3:$K$501,"=631")</f>
        <v>0</v>
      </c>
      <c r="G94" s="187">
        <f>SUMIFS('Plan prihoda za unos u SAP'!$I$3:$I$501,'Plan prihoda za unos u SAP'!$C$3:$C$501,"=31",'Plan prihoda za unos u SAP'!$K$3:$K$501,"=631")</f>
        <v>0</v>
      </c>
      <c r="H94" s="187">
        <f>SUMIFS('Plan prihoda za unos u SAP'!$I$3:$I$501,'Plan prihoda za unos u SAP'!$C$3:$C$501,"=41",'Plan prihoda za unos u SAP'!$K$3:$K$501,"=631")</f>
        <v>0</v>
      </c>
      <c r="I94" s="187">
        <f>SUMIFS('Plan prihoda za unos u SAP'!$I$3:$I$501,'Plan prihoda za unos u SAP'!$C$3:$C$501,"=43",'Plan prihoda za unos u SAP'!$K$3:$K$501,"=631")</f>
        <v>0</v>
      </c>
      <c r="J94" s="187">
        <f>SUMIFS('Plan prihoda za unos u SAP'!$I$3:$I$501,'Plan prihoda za unos u SAP'!$C$3:$C$501,"=51",'Plan prihoda za unos u SAP'!$K$3:$K$501,"=631")</f>
        <v>0</v>
      </c>
      <c r="K94" s="187">
        <f>SUMIFS('Plan prihoda za unos u SAP'!$I$3:$I$501,'Plan prihoda za unos u SAP'!$C$3:$C$501,"=52",'Plan prihoda za unos u SAP'!$K$3:$K$501,"=631")</f>
        <v>0</v>
      </c>
      <c r="L94" s="187">
        <f>SUMIFS('Plan prihoda za unos u SAP'!$I$3:$I$501,'Plan prihoda za unos u SAP'!$C$3:$C$501,"=552",'Plan prihoda za unos u SAP'!$K$3:$K$501,"=631")</f>
        <v>0</v>
      </c>
      <c r="M94" s="187">
        <f>SUMIFS('Plan prihoda za unos u SAP'!$I$3:$I$501,'Plan prihoda za unos u SAP'!$C$3:$C$501,"=559",'Plan prihoda za unos u SAP'!$K$3:$K$501,"=631")</f>
        <v>0</v>
      </c>
      <c r="N94" s="187">
        <f>SUMIFS('Plan prihoda za unos u SAP'!$I$3:$I$501,'Plan prihoda za unos u SAP'!$C$3:$C$501,"=561",'Plan prihoda za unos u SAP'!$K$3:$K$501,"=631")</f>
        <v>0</v>
      </c>
      <c r="O94" s="187">
        <f>SUMIFS('Plan prihoda za unos u SAP'!$I$3:$I$501,'Plan prihoda za unos u SAP'!$C$3:$C$501,"=563",'Plan prihoda za unos u SAP'!$K$3:$K$501,"=631")</f>
        <v>0</v>
      </c>
      <c r="P94" s="187">
        <f>SUMIFS('Plan prihoda za unos u SAP'!$I$3:$I$501,'Plan prihoda za unos u SAP'!$C$3:$C$501,"=573",'Plan prihoda za unos u SAP'!$K$3:$K$501,"=631")</f>
        <v>0</v>
      </c>
      <c r="Q94" s="187">
        <f>SUMIFS('Plan prihoda za unos u SAP'!$I$3:$I$501,'Plan prihoda za unos u SAP'!$C$3:$C$501,"=575",'Plan prihoda za unos u SAP'!$K$3:$K$501,"=631")</f>
        <v>0</v>
      </c>
      <c r="R94" s="187">
        <f>SUMIFS('Plan prihoda za unos u SAP'!$I$3:$I$501,'Plan prihoda za unos u SAP'!$C$3:$C$501,"=576",'Plan prihoda za unos u SAP'!$K$3:$K$501,"=631")</f>
        <v>0</v>
      </c>
      <c r="S94" s="187">
        <f>SUMIFS('Plan prihoda za unos u SAP'!$I$3:$I$501,'Plan prihoda za unos u SAP'!$C$3:$C$501,"=61",'Plan prihoda za unos u SAP'!$K$3:$K$501,"=631")</f>
        <v>0</v>
      </c>
      <c r="T94" s="187">
        <f>SUMIFS('Plan prihoda za unos u SAP'!$I$3:$I$501,'Plan prihoda za unos u SAP'!$C$3:$C$501,"=63",'Plan prihoda za unos u SAP'!$K$3:$K$501,"=631")</f>
        <v>0</v>
      </c>
      <c r="U94" s="187">
        <f>SUMIFS('Plan prihoda za unos u SAP'!$I$3:$I$501,'Plan prihoda za unos u SAP'!$C$3:$C$501,"=71",'Plan prihoda za unos u SAP'!$K$3:$K$501,"=631")</f>
        <v>0</v>
      </c>
      <c r="V94" s="187">
        <f>SUMIFS('Plan prihoda za unos u SAP'!$I$3:$I$501,'Plan prihoda za unos u SAP'!$C$3:$C$501,"=81",'Plan prihoda za unos u SAP'!$K$3:$K$501,"=631")</f>
        <v>0</v>
      </c>
      <c r="W94" s="187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2127</v>
      </c>
      <c r="C95" s="96" t="s">
        <v>2128</v>
      </c>
      <c r="D95" s="70">
        <f t="shared" si="23"/>
        <v>17500</v>
      </c>
      <c r="E95" s="187">
        <f>SUMIFS('Plan prihoda za unos u SAP'!$I$3:$I$501,'Plan prihoda za unos u SAP'!$C$3:$C$501,"=11",'Plan prihoda za unos u SAP'!$K$3:$K$501,"=632")</f>
        <v>0</v>
      </c>
      <c r="F95" s="187">
        <f>SUMIFS('Plan prihoda za unos u SAP'!$I$3:$I$501,'Plan prihoda za unos u SAP'!$C$3:$C$501,"=12",'Plan prihoda za unos u SAP'!$K$3:$K$501,"=632")</f>
        <v>0</v>
      </c>
      <c r="G95" s="187">
        <f>SUMIFS('Plan prihoda za unos u SAP'!$I$3:$I$501,'Plan prihoda za unos u SAP'!$C$3:$C$501,"=31",'Plan prihoda za unos u SAP'!$K$3:$K$501,"=632")</f>
        <v>0</v>
      </c>
      <c r="H95" s="187">
        <f>SUMIFS('Plan prihoda za unos u SAP'!$I$3:$I$501,'Plan prihoda za unos u SAP'!$C$3:$C$501,"=41",'Plan prihoda za unos u SAP'!$K$3:$K$501,"=632")</f>
        <v>0</v>
      </c>
      <c r="I95" s="187">
        <f>SUMIFS('Plan prihoda za unos u SAP'!$I$3:$I$501,'Plan prihoda za unos u SAP'!$C$3:$C$501,"=43",'Plan prihoda za unos u SAP'!$K$3:$K$501,"=632")</f>
        <v>0</v>
      </c>
      <c r="J95" s="187">
        <f>SUMIFS('Plan prihoda za unos u SAP'!$I$3:$I$501,'Plan prihoda za unos u SAP'!$C$3:$C$501,"=51",'Plan prihoda za unos u SAP'!$K$3:$K$501,"=632")</f>
        <v>17500</v>
      </c>
      <c r="K95" s="187">
        <f>SUMIFS('Plan prihoda za unos u SAP'!$I$3:$I$501,'Plan prihoda za unos u SAP'!$C$3:$C$501,"=52",'Plan prihoda za unos u SAP'!$K$3:$K$501,"=632")</f>
        <v>0</v>
      </c>
      <c r="L95" s="187">
        <f>SUMIFS('Plan prihoda za unos u SAP'!$I$3:$I$501,'Plan prihoda za unos u SAP'!$C$3:$C$501,"=552",'Plan prihoda za unos u SAP'!$K$3:$K$501,"=632")</f>
        <v>0</v>
      </c>
      <c r="M95" s="187">
        <f>SUMIFS('Plan prihoda za unos u SAP'!$I$3:$I$501,'Plan prihoda za unos u SAP'!$C$3:$C$501,"=559",'Plan prihoda za unos u SAP'!$K$3:$K$501,"=632")</f>
        <v>0</v>
      </c>
      <c r="N95" s="187">
        <f>SUMIFS('Plan prihoda za unos u SAP'!$I$3:$I$501,'Plan prihoda za unos u SAP'!$C$3:$C$501,"=561",'Plan prihoda za unos u SAP'!$K$3:$K$501,"=632")</f>
        <v>0</v>
      </c>
      <c r="O95" s="187">
        <f>SUMIFS('Plan prihoda za unos u SAP'!$I$3:$I$501,'Plan prihoda za unos u SAP'!$C$3:$C$501,"=563",'Plan prihoda za unos u SAP'!$K$3:$K$501,"=632")</f>
        <v>0</v>
      </c>
      <c r="P95" s="187">
        <f>SUMIFS('Plan prihoda za unos u SAP'!$I$3:$I$501,'Plan prihoda za unos u SAP'!$C$3:$C$501,"=573",'Plan prihoda za unos u SAP'!$K$3:$K$501,"=632")</f>
        <v>0</v>
      </c>
      <c r="Q95" s="187">
        <f>SUMIFS('Plan prihoda za unos u SAP'!$I$3:$I$501,'Plan prihoda za unos u SAP'!$C$3:$C$501,"=575",'Plan prihoda za unos u SAP'!$K$3:$K$501,"=632")</f>
        <v>0</v>
      </c>
      <c r="R95" s="187">
        <f>SUMIFS('Plan prihoda za unos u SAP'!$I$3:$I$501,'Plan prihoda za unos u SAP'!$C$3:$C$501,"=576",'Plan prihoda za unos u SAP'!$K$3:$K$501,"=632")</f>
        <v>0</v>
      </c>
      <c r="S95" s="187">
        <f>SUMIFS('Plan prihoda za unos u SAP'!$I$3:$I$501,'Plan prihoda za unos u SAP'!$C$3:$C$501,"=61",'Plan prihoda za unos u SAP'!$K$3:$K$501,"=632")</f>
        <v>0</v>
      </c>
      <c r="T95" s="187">
        <f>SUMIFS('Plan prihoda za unos u SAP'!$I$3:$I$501,'Plan prihoda za unos u SAP'!$C$3:$C$501,"=63",'Plan prihoda za unos u SAP'!$K$3:$K$501,"=632")</f>
        <v>0</v>
      </c>
      <c r="U95" s="187">
        <f>SUMIFS('Plan prihoda za unos u SAP'!$I$3:$I$501,'Plan prihoda za unos u SAP'!$C$3:$C$501,"=71",'Plan prihoda za unos u SAP'!$K$3:$K$501,"=632")</f>
        <v>0</v>
      </c>
      <c r="V95" s="187">
        <f>SUMIFS('Plan prihoda za unos u SAP'!$I$3:$I$501,'Plan prihoda za unos u SAP'!$C$3:$C$501,"=81",'Plan prihoda za unos u SAP'!$K$3:$K$501,"=632")</f>
        <v>0</v>
      </c>
      <c r="W95" s="187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2129</v>
      </c>
      <c r="C96" s="96" t="s">
        <v>2130</v>
      </c>
      <c r="D96" s="70">
        <f t="shared" si="23"/>
        <v>0</v>
      </c>
      <c r="E96" s="187">
        <f>SUMIFS('Plan prihoda za unos u SAP'!$I$3:$I$501,'Plan prihoda za unos u SAP'!$C$3:$C$501,"=11",'Plan prihoda za unos u SAP'!$K$3:$K$501,"=634")</f>
        <v>0</v>
      </c>
      <c r="F96" s="187">
        <f>SUMIFS('Plan prihoda za unos u SAP'!$I$3:$I$501,'Plan prihoda za unos u SAP'!$C$3:$C$501,"=12",'Plan prihoda za unos u SAP'!$K$3:$K$501,"=634")</f>
        <v>0</v>
      </c>
      <c r="G96" s="187">
        <f>SUMIFS('Plan prihoda za unos u SAP'!$I$3:$I$501,'Plan prihoda za unos u SAP'!$C$3:$C$501,"=31",'Plan prihoda za unos u SAP'!$K$3:$K$501,"=634")</f>
        <v>0</v>
      </c>
      <c r="H96" s="187">
        <f>SUMIFS('Plan prihoda za unos u SAP'!$I$3:$I$501,'Plan prihoda za unos u SAP'!$C$3:$C$501,"=41",'Plan prihoda za unos u SAP'!$K$3:$K$501,"=634")</f>
        <v>0</v>
      </c>
      <c r="I96" s="187">
        <f>SUMIFS('Plan prihoda za unos u SAP'!$I$3:$I$501,'Plan prihoda za unos u SAP'!$C$3:$C$501,"=43",'Plan prihoda za unos u SAP'!$K$3:$K$501,"=634")</f>
        <v>0</v>
      </c>
      <c r="J96" s="187">
        <f>SUMIFS('Plan prihoda za unos u SAP'!$I$3:$I$501,'Plan prihoda za unos u SAP'!$C$3:$C$501,"=51",'Plan prihoda za unos u SAP'!$K$3:$K$501,"=634")</f>
        <v>0</v>
      </c>
      <c r="K96" s="187">
        <f>SUMIFS('Plan prihoda za unos u SAP'!$I$3:$I$501,'Plan prihoda za unos u SAP'!$C$3:$C$501,"=52",'Plan prihoda za unos u SAP'!$K$3:$K$501,"=634")</f>
        <v>0</v>
      </c>
      <c r="L96" s="187">
        <f>SUMIFS('Plan prihoda za unos u SAP'!$I$3:$I$501,'Plan prihoda za unos u SAP'!$C$3:$C$501,"=552",'Plan prihoda za unos u SAP'!$K$3:$K$501,"=634")</f>
        <v>0</v>
      </c>
      <c r="M96" s="187">
        <f>SUMIFS('Plan prihoda za unos u SAP'!$I$3:$I$501,'Plan prihoda za unos u SAP'!$C$3:$C$501,"=559",'Plan prihoda za unos u SAP'!$K$3:$K$501,"=634")</f>
        <v>0</v>
      </c>
      <c r="N96" s="187">
        <f>SUMIFS('Plan prihoda za unos u SAP'!$I$3:$I$501,'Plan prihoda za unos u SAP'!$C$3:$C$501,"=561",'Plan prihoda za unos u SAP'!$K$3:$K$501,"=634")</f>
        <v>0</v>
      </c>
      <c r="O96" s="187">
        <f>SUMIFS('Plan prihoda za unos u SAP'!$I$3:$I$501,'Plan prihoda za unos u SAP'!$C$3:$C$501,"=563",'Plan prihoda za unos u SAP'!$K$3:$K$501,"=634")</f>
        <v>0</v>
      </c>
      <c r="P96" s="187">
        <f>SUMIFS('Plan prihoda za unos u SAP'!$I$3:$I$501,'Plan prihoda za unos u SAP'!$C$3:$C$501,"=573",'Plan prihoda za unos u SAP'!$K$3:$K$501,"=634")</f>
        <v>0</v>
      </c>
      <c r="Q96" s="187">
        <f>SUMIFS('Plan prihoda za unos u SAP'!$I$3:$I$501,'Plan prihoda za unos u SAP'!$C$3:$C$501,"=575",'Plan prihoda za unos u SAP'!$K$3:$K$501,"=634")</f>
        <v>0</v>
      </c>
      <c r="R96" s="187">
        <f>SUMIFS('Plan prihoda za unos u SAP'!$I$3:$I$501,'Plan prihoda za unos u SAP'!$C$3:$C$501,"=576",'Plan prihoda za unos u SAP'!$K$3:$K$501,"=634")</f>
        <v>0</v>
      </c>
      <c r="S96" s="187">
        <f>SUMIFS('Plan prihoda za unos u SAP'!$I$3:$I$501,'Plan prihoda za unos u SAP'!$C$3:$C$501,"=61",'Plan prihoda za unos u SAP'!$K$3:$K$501,"=634")</f>
        <v>0</v>
      </c>
      <c r="T96" s="187">
        <f>SUMIFS('Plan prihoda za unos u SAP'!$I$3:$I$501,'Plan prihoda za unos u SAP'!$C$3:$C$501,"=63",'Plan prihoda za unos u SAP'!$K$3:$K$501,"=634")</f>
        <v>0</v>
      </c>
      <c r="U96" s="187">
        <f>SUMIFS('Plan prihoda za unos u SAP'!$I$3:$I$501,'Plan prihoda za unos u SAP'!$C$3:$C$501,"=71",'Plan prihoda za unos u SAP'!$K$3:$K$501,"=634")</f>
        <v>0</v>
      </c>
      <c r="V96" s="187">
        <f>SUMIFS('Plan prihoda za unos u SAP'!$I$3:$I$501,'Plan prihoda za unos u SAP'!$C$3:$C$501,"=81",'Plan prihoda za unos u SAP'!$K$3:$K$501,"=634")</f>
        <v>0</v>
      </c>
      <c r="W96" s="187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3" t="s">
        <v>2131</v>
      </c>
      <c r="C97" s="96" t="s">
        <v>2132</v>
      </c>
      <c r="D97" s="70">
        <f t="shared" si="23"/>
        <v>0</v>
      </c>
      <c r="E97" s="187">
        <f>SUMIFS('Plan prihoda za unos u SAP'!$I$3:$I$501,'Plan prihoda za unos u SAP'!$C$3:$C$501,"=11",'Plan prihoda za unos u SAP'!$K$3:$K$501,"=636")</f>
        <v>0</v>
      </c>
      <c r="F97" s="187">
        <f>SUMIFS('Plan prihoda za unos u SAP'!$I$3:$I$501,'Plan prihoda za unos u SAP'!$C$3:$C$501,"=12",'Plan prihoda za unos u SAP'!$K$3:$K$501,"=636")</f>
        <v>0</v>
      </c>
      <c r="G97" s="187">
        <f>SUMIFS('Plan prihoda za unos u SAP'!$I$3:$I$501,'Plan prihoda za unos u SAP'!$C$3:$C$501,"=31",'Plan prihoda za unos u SAP'!$K$3:$K$501,"=636")</f>
        <v>0</v>
      </c>
      <c r="H97" s="187">
        <f>SUMIFS('Plan prihoda za unos u SAP'!$I$3:$I$501,'Plan prihoda za unos u SAP'!$C$3:$C$501,"=41",'Plan prihoda za unos u SAP'!$K$3:$K$501,"=636")</f>
        <v>0</v>
      </c>
      <c r="I97" s="187">
        <f>SUMIFS('Plan prihoda za unos u SAP'!$I$3:$I$501,'Plan prihoda za unos u SAP'!$C$3:$C$501,"=43",'Plan prihoda za unos u SAP'!$K$3:$K$501,"=636")</f>
        <v>0</v>
      </c>
      <c r="J97" s="187">
        <f>SUMIFS('Plan prihoda za unos u SAP'!$I$3:$I$501,'Plan prihoda za unos u SAP'!$C$3:$C$501,"=51",'Plan prihoda za unos u SAP'!$K$3:$K$501,"=636")</f>
        <v>0</v>
      </c>
      <c r="K97" s="187">
        <f>SUMIFS('Plan prihoda za unos u SAP'!$I$3:$I$501,'Plan prihoda za unos u SAP'!$C$3:$C$501,"=52",'Plan prihoda za unos u SAP'!$K$3:$K$501,"=636")</f>
        <v>0</v>
      </c>
      <c r="L97" s="187">
        <f>SUMIFS('Plan prihoda za unos u SAP'!$I$3:$I$501,'Plan prihoda za unos u SAP'!$C$3:$C$501,"=552",'Plan prihoda za unos u SAP'!$K$3:$K$501,"=636")</f>
        <v>0</v>
      </c>
      <c r="M97" s="187">
        <f>SUMIFS('Plan prihoda za unos u SAP'!$I$3:$I$501,'Plan prihoda za unos u SAP'!$C$3:$C$501,"=559",'Plan prihoda za unos u SAP'!$K$3:$K$501,"=636")</f>
        <v>0</v>
      </c>
      <c r="N97" s="187">
        <f>SUMIFS('Plan prihoda za unos u SAP'!$I$3:$I$501,'Plan prihoda za unos u SAP'!$C$3:$C$501,"=561",'Plan prihoda za unos u SAP'!$K$3:$K$501,"=636")</f>
        <v>0</v>
      </c>
      <c r="O97" s="187">
        <f>SUMIFS('Plan prihoda za unos u SAP'!$I$3:$I$501,'Plan prihoda za unos u SAP'!$C$3:$C$501,"=563",'Plan prihoda za unos u SAP'!$K$3:$K$501,"=636")</f>
        <v>0</v>
      </c>
      <c r="P97" s="187">
        <f>SUMIFS('Plan prihoda za unos u SAP'!$I$3:$I$501,'Plan prihoda za unos u SAP'!$C$3:$C$501,"=573",'Plan prihoda za unos u SAP'!$K$3:$K$501,"=636")</f>
        <v>0</v>
      </c>
      <c r="Q97" s="187">
        <f>SUMIFS('Plan prihoda za unos u SAP'!$I$3:$I$501,'Plan prihoda za unos u SAP'!$C$3:$C$501,"=575",'Plan prihoda za unos u SAP'!$K$3:$K$501,"=636")</f>
        <v>0</v>
      </c>
      <c r="R97" s="187">
        <f>SUMIFS('Plan prihoda za unos u SAP'!$I$3:$I$501,'Plan prihoda za unos u SAP'!$C$3:$C$501,"=576",'Plan prihoda za unos u SAP'!$K$3:$K$501,"=636")</f>
        <v>0</v>
      </c>
      <c r="S97" s="187">
        <f>SUMIFS('Plan prihoda za unos u SAP'!$I$3:$I$501,'Plan prihoda za unos u SAP'!$C$3:$C$501,"=61",'Plan prihoda za unos u SAP'!$K$3:$K$501,"=636")</f>
        <v>0</v>
      </c>
      <c r="T97" s="187">
        <f>SUMIFS('Plan prihoda za unos u SAP'!$I$3:$I$501,'Plan prihoda za unos u SAP'!$C$3:$C$501,"=63",'Plan prihoda za unos u SAP'!$K$3:$K$501,"=636")</f>
        <v>0</v>
      </c>
      <c r="U97" s="187">
        <f>SUMIFS('Plan prihoda za unos u SAP'!$I$3:$I$501,'Plan prihoda za unos u SAP'!$C$3:$C$501,"=71",'Plan prihoda za unos u SAP'!$K$3:$K$501,"=636")</f>
        <v>0</v>
      </c>
      <c r="V97" s="187">
        <f>SUMIFS('Plan prihoda za unos u SAP'!$I$3:$I$501,'Plan prihoda za unos u SAP'!$C$3:$C$501,"=81",'Plan prihoda za unos u SAP'!$K$3:$K$501,"=636")</f>
        <v>0</v>
      </c>
      <c r="W97" s="187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2133</v>
      </c>
      <c r="C98" s="96" t="s">
        <v>2134</v>
      </c>
      <c r="D98" s="70">
        <f t="shared" si="23"/>
        <v>0</v>
      </c>
      <c r="E98" s="187">
        <f>SUMIFS('Plan prihoda za unos u SAP'!$I$3:$I$501,'Plan prihoda za unos u SAP'!$C$3:$C$501,"=11",'Plan prihoda za unos u SAP'!$K$3:$K$501,"=638")</f>
        <v>0</v>
      </c>
      <c r="F98" s="187">
        <f>SUMIFS('Plan prihoda za unos u SAP'!$I$3:$I$501,'Plan prihoda za unos u SAP'!$C$3:$C$501,"=12",'Plan prihoda za unos u SAP'!$K$3:$K$501,"=638")</f>
        <v>0</v>
      </c>
      <c r="G98" s="187">
        <f>SUMIFS('Plan prihoda za unos u SAP'!$I$3:$I$501,'Plan prihoda za unos u SAP'!$C$3:$C$501,"=31",'Plan prihoda za unos u SAP'!$K$3:$K$501,"=638")</f>
        <v>0</v>
      </c>
      <c r="H98" s="187">
        <f>SUMIFS('Plan prihoda za unos u SAP'!$I$3:$I$501,'Plan prihoda za unos u SAP'!$C$3:$C$501,"=41",'Plan prihoda za unos u SAP'!$K$3:$K$501,"=638")</f>
        <v>0</v>
      </c>
      <c r="I98" s="187">
        <f>SUMIFS('Plan prihoda za unos u SAP'!$I$3:$I$501,'Plan prihoda za unos u SAP'!$C$3:$C$501,"=43",'Plan prihoda za unos u SAP'!$K$3:$K$501,"=638")</f>
        <v>0</v>
      </c>
      <c r="J98" s="187">
        <f>SUMIFS('Plan prihoda za unos u SAP'!$I$3:$I$501,'Plan prihoda za unos u SAP'!$C$3:$C$501,"=51",'Plan prihoda za unos u SAP'!$K$3:$K$501,"=638")</f>
        <v>0</v>
      </c>
      <c r="K98" s="187">
        <f>SUMIFS('Plan prihoda za unos u SAP'!$I$3:$I$501,'Plan prihoda za unos u SAP'!$C$3:$C$501,"=52",'Plan prihoda za unos u SAP'!$K$3:$K$501,"=638")</f>
        <v>0</v>
      </c>
      <c r="L98" s="187">
        <f>SUMIFS('Plan prihoda za unos u SAP'!$I$3:$I$501,'Plan prihoda za unos u SAP'!$C$3:$C$501,"=552",'Plan prihoda za unos u SAP'!$K$3:$K$501,"=638")</f>
        <v>0</v>
      </c>
      <c r="M98" s="187">
        <f>SUMIFS('Plan prihoda za unos u SAP'!$I$3:$I$501,'Plan prihoda za unos u SAP'!$C$3:$C$501,"=559",'Plan prihoda za unos u SAP'!$K$3:$K$501,"=638")</f>
        <v>0</v>
      </c>
      <c r="N98" s="187">
        <f>SUMIFS('Plan prihoda za unos u SAP'!$I$3:$I$501,'Plan prihoda za unos u SAP'!$C$3:$C$501,"=561",'Plan prihoda za unos u SAP'!$K$3:$K$501,"=638")</f>
        <v>0</v>
      </c>
      <c r="O98" s="187">
        <f>SUMIFS('Plan prihoda za unos u SAP'!$I$3:$I$501,'Plan prihoda za unos u SAP'!$C$3:$C$501,"=563",'Plan prihoda za unos u SAP'!$K$3:$K$501,"=638")</f>
        <v>0</v>
      </c>
      <c r="P98" s="187">
        <f>SUMIFS('Plan prihoda za unos u SAP'!$I$3:$I$501,'Plan prihoda za unos u SAP'!$C$3:$C$501,"=573",'Plan prihoda za unos u SAP'!$K$3:$K$501,"=638")</f>
        <v>0</v>
      </c>
      <c r="Q98" s="187">
        <f>SUMIFS('Plan prihoda za unos u SAP'!$I$3:$I$501,'Plan prihoda za unos u SAP'!$C$3:$C$501,"=575",'Plan prihoda za unos u SAP'!$K$3:$K$501,"=638")</f>
        <v>0</v>
      </c>
      <c r="R98" s="187">
        <f>SUMIFS('Plan prihoda za unos u SAP'!$I$3:$I$501,'Plan prihoda za unos u SAP'!$C$3:$C$501,"=576",'Plan prihoda za unos u SAP'!$K$3:$K$501,"=638")</f>
        <v>0</v>
      </c>
      <c r="S98" s="187">
        <f>SUMIFS('Plan prihoda za unos u SAP'!$I$3:$I$501,'Plan prihoda za unos u SAP'!$C$3:$C$501,"=61",'Plan prihoda za unos u SAP'!$K$3:$K$501,"=638")</f>
        <v>0</v>
      </c>
      <c r="T98" s="187">
        <f>SUMIFS('Plan prihoda za unos u SAP'!$I$3:$I$501,'Plan prihoda za unos u SAP'!$C$3:$C$501,"=63",'Plan prihoda za unos u SAP'!$K$3:$K$501,"=638")</f>
        <v>0</v>
      </c>
      <c r="U98" s="187">
        <f>SUMIFS('Plan prihoda za unos u SAP'!$I$3:$I$501,'Plan prihoda za unos u SAP'!$C$3:$C$501,"=71",'Plan prihoda za unos u SAP'!$K$3:$K$501,"=638")</f>
        <v>0</v>
      </c>
      <c r="V98" s="187">
        <f>SUMIFS('Plan prihoda za unos u SAP'!$I$3:$I$501,'Plan prihoda za unos u SAP'!$C$3:$C$501,"=81",'Plan prihoda za unos u SAP'!$K$3:$K$501,"=638")</f>
        <v>0</v>
      </c>
      <c r="W98" s="187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2135</v>
      </c>
      <c r="C99" s="96" t="s">
        <v>2136</v>
      </c>
      <c r="D99" s="70">
        <f t="shared" si="23"/>
        <v>259070</v>
      </c>
      <c r="E99" s="187">
        <f>SUMIFS('Plan prihoda za unos u SAP'!$I$3:$I$501,'Plan prihoda za unos u SAP'!$C$3:$C$501,"=11",'Plan prihoda za unos u SAP'!$K$3:$K$501,"=639")</f>
        <v>0</v>
      </c>
      <c r="F99" s="187">
        <f>SUMIFS('Plan prihoda za unos u SAP'!$I$3:$I$501,'Plan prihoda za unos u SAP'!$C$3:$C$501,"=12",'Plan prihoda za unos u SAP'!$K$3:$K$501,"=639")</f>
        <v>0</v>
      </c>
      <c r="G99" s="187">
        <f>SUMIFS('Plan prihoda za unos u SAP'!$I$3:$I$501,'Plan prihoda za unos u SAP'!$C$3:$C$501,"=31",'Plan prihoda za unos u SAP'!$K$3:$K$501,"=639")</f>
        <v>0</v>
      </c>
      <c r="H99" s="187">
        <f>SUMIFS('Plan prihoda za unos u SAP'!$I$3:$I$501,'Plan prihoda za unos u SAP'!$C$3:$C$501,"=41",'Plan prihoda za unos u SAP'!$K$3:$K$501,"=639")</f>
        <v>0</v>
      </c>
      <c r="I99" s="187">
        <f>SUMIFS('Plan prihoda za unos u SAP'!$I$3:$I$501,'Plan prihoda za unos u SAP'!$C$3:$C$501,"=43",'Plan prihoda za unos u SAP'!$K$3:$K$501,"=639")</f>
        <v>0</v>
      </c>
      <c r="J99" s="187">
        <f>SUMIFS('Plan prihoda za unos u SAP'!$I$3:$I$501,'Plan prihoda za unos u SAP'!$C$3:$C$501,"=51",'Plan prihoda za unos u SAP'!$K$3:$K$501,"=639")</f>
        <v>0</v>
      </c>
      <c r="K99" s="187">
        <f>SUMIFS('Plan prihoda za unos u SAP'!$I$3:$I$501,'Plan prihoda za unos u SAP'!$C$3:$C$501,"=52",'Plan prihoda za unos u SAP'!$K$3:$K$501,"=639")</f>
        <v>259070</v>
      </c>
      <c r="L99" s="187">
        <f>SUMIFS('Plan prihoda za unos u SAP'!$I$3:$I$501,'Plan prihoda za unos u SAP'!$C$3:$C$501,"=552",'Plan prihoda za unos u SAP'!$K$3:$K$501,"=639")</f>
        <v>0</v>
      </c>
      <c r="M99" s="187">
        <f>SUMIFS('Plan prihoda za unos u SAP'!$I$3:$I$501,'Plan prihoda za unos u SAP'!$C$3:$C$501,"=559",'Plan prihoda za unos u SAP'!$K$3:$K$501,"=639")</f>
        <v>0</v>
      </c>
      <c r="N99" s="187">
        <f>SUMIFS('Plan prihoda za unos u SAP'!$I$3:$I$501,'Plan prihoda za unos u SAP'!$C$3:$C$501,"=561",'Plan prihoda za unos u SAP'!$K$3:$K$501,"=639")</f>
        <v>0</v>
      </c>
      <c r="O99" s="187">
        <f>SUMIFS('Plan prihoda za unos u SAP'!$I$3:$I$501,'Plan prihoda za unos u SAP'!$C$3:$C$501,"=563",'Plan prihoda za unos u SAP'!$K$3:$K$501,"=639")</f>
        <v>0</v>
      </c>
      <c r="P99" s="187">
        <f>SUMIFS('Plan prihoda za unos u SAP'!$I$3:$I$501,'Plan prihoda za unos u SAP'!$C$3:$C$501,"=573",'Plan prihoda za unos u SAP'!$K$3:$K$501,"=639")</f>
        <v>0</v>
      </c>
      <c r="Q99" s="187">
        <f>SUMIFS('Plan prihoda za unos u SAP'!$I$3:$I$501,'Plan prihoda za unos u SAP'!$C$3:$C$501,"=575",'Plan prihoda za unos u SAP'!$K$3:$K$501,"=639")</f>
        <v>0</v>
      </c>
      <c r="R99" s="187">
        <f>SUMIFS('Plan prihoda za unos u SAP'!$I$3:$I$501,'Plan prihoda za unos u SAP'!$C$3:$C$501,"=576",'Plan prihoda za unos u SAP'!$K$3:$K$501,"=639")</f>
        <v>0</v>
      </c>
      <c r="S99" s="187">
        <f>SUMIFS('Plan prihoda za unos u SAP'!$I$3:$I$501,'Plan prihoda za unos u SAP'!$C$3:$C$501,"=61",'Plan prihoda za unos u SAP'!$K$3:$K$501,"=639")</f>
        <v>0</v>
      </c>
      <c r="T99" s="187">
        <f>SUMIFS('Plan prihoda za unos u SAP'!$I$3:$I$501,'Plan prihoda za unos u SAP'!$C$3:$C$501,"=63",'Plan prihoda za unos u SAP'!$K$3:$K$501,"=639")</f>
        <v>0</v>
      </c>
      <c r="U99" s="187">
        <f>SUMIFS('Plan prihoda za unos u SAP'!$I$3:$I$501,'Plan prihoda za unos u SAP'!$C$3:$C$501,"=71",'Plan prihoda za unos u SAP'!$K$3:$K$501,"=639")</f>
        <v>0</v>
      </c>
      <c r="V99" s="187">
        <f>SUMIFS('Plan prihoda za unos u SAP'!$I$3:$I$501,'Plan prihoda za unos u SAP'!$C$3:$C$501,"=81",'Plan prihoda za unos u SAP'!$K$3:$K$501,"=639")</f>
        <v>0</v>
      </c>
      <c r="W99" s="187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2137</v>
      </c>
      <c r="C100" s="96" t="s">
        <v>2138</v>
      </c>
      <c r="D100" s="70">
        <f t="shared" si="23"/>
        <v>0</v>
      </c>
      <c r="E100" s="187">
        <f>SUMIFS('Plan prihoda za unos u SAP'!$I$3:$I$501,'Plan prihoda za unos u SAP'!$C$3:$C$501,"=11",'Plan prihoda za unos u SAP'!$K$3:$K$501,"=641")</f>
        <v>0</v>
      </c>
      <c r="F100" s="187">
        <f>SUMIFS('Plan prihoda za unos u SAP'!$I$3:$I$501,'Plan prihoda za unos u SAP'!$C$3:$C$501,"=12",'Plan prihoda za unos u SAP'!$K$3:$K$501,"=641")</f>
        <v>0</v>
      </c>
      <c r="G100" s="187">
        <f>SUMIFS('Plan prihoda za unos u SAP'!$I$3:$I$501,'Plan prihoda za unos u SAP'!$C$3:$C$501,"=31",'Plan prihoda za unos u SAP'!$K$3:$K$501,"=641")</f>
        <v>0</v>
      </c>
      <c r="H100" s="187">
        <f>SUMIFS('Plan prihoda za unos u SAP'!$I$3:$I$501,'Plan prihoda za unos u SAP'!$C$3:$C$501,"=41",'Plan prihoda za unos u SAP'!$K$3:$K$501,"=641")</f>
        <v>0</v>
      </c>
      <c r="I100" s="187">
        <f>SUMIFS('Plan prihoda za unos u SAP'!$I$3:$I$501,'Plan prihoda za unos u SAP'!$C$3:$C$501,"=43",'Plan prihoda za unos u SAP'!$K$3:$K$501,"=641")</f>
        <v>0</v>
      </c>
      <c r="J100" s="187">
        <f>SUMIFS('Plan prihoda za unos u SAP'!$I$3:$I$501,'Plan prihoda za unos u SAP'!$C$3:$C$501,"=51",'Plan prihoda za unos u SAP'!$K$3:$K$501,"=641")</f>
        <v>0</v>
      </c>
      <c r="K100" s="187">
        <f>SUMIFS('Plan prihoda za unos u SAP'!$I$3:$I$501,'Plan prihoda za unos u SAP'!$C$3:$C$501,"=52",'Plan prihoda za unos u SAP'!$K$3:$K$501,"=641")</f>
        <v>0</v>
      </c>
      <c r="L100" s="187">
        <f>SUMIFS('Plan prihoda za unos u SAP'!$I$3:$I$501,'Plan prihoda za unos u SAP'!$C$3:$C$501,"=552",'Plan prihoda za unos u SAP'!$K$3:$K$501,"=641")</f>
        <v>0</v>
      </c>
      <c r="M100" s="187">
        <f>SUMIFS('Plan prihoda za unos u SAP'!$I$3:$I$501,'Plan prihoda za unos u SAP'!$C$3:$C$501,"=559",'Plan prihoda za unos u SAP'!$K$3:$K$501,"=641")</f>
        <v>0</v>
      </c>
      <c r="N100" s="187">
        <f>SUMIFS('Plan prihoda za unos u SAP'!$I$3:$I$501,'Plan prihoda za unos u SAP'!$C$3:$C$501,"=561",'Plan prihoda za unos u SAP'!$K$3:$K$501,"=641")</f>
        <v>0</v>
      </c>
      <c r="O100" s="187">
        <f>SUMIFS('Plan prihoda za unos u SAP'!$I$3:$I$501,'Plan prihoda za unos u SAP'!$C$3:$C$501,"=563",'Plan prihoda za unos u SAP'!$K$3:$K$501,"=641")</f>
        <v>0</v>
      </c>
      <c r="P100" s="187">
        <f>SUMIFS('Plan prihoda za unos u SAP'!$I$3:$I$501,'Plan prihoda za unos u SAP'!$C$3:$C$501,"=573",'Plan prihoda za unos u SAP'!$K$3:$K$501,"=641")</f>
        <v>0</v>
      </c>
      <c r="Q100" s="187">
        <f>SUMIFS('Plan prihoda za unos u SAP'!$I$3:$I$501,'Plan prihoda za unos u SAP'!$C$3:$C$501,"=575",'Plan prihoda za unos u SAP'!$K$3:$K$501,"=641")</f>
        <v>0</v>
      </c>
      <c r="R100" s="187">
        <f>SUMIFS('Plan prihoda za unos u SAP'!$I$3:$I$501,'Plan prihoda za unos u SAP'!$C$3:$C$501,"=576",'Plan prihoda za unos u SAP'!$K$3:$K$501,"=641")</f>
        <v>0</v>
      </c>
      <c r="S100" s="187">
        <f>SUMIFS('Plan prihoda za unos u SAP'!$I$3:$I$501,'Plan prihoda za unos u SAP'!$C$3:$C$501,"=61",'Plan prihoda za unos u SAP'!$K$3:$K$501,"=641")</f>
        <v>0</v>
      </c>
      <c r="T100" s="187">
        <f>SUMIFS('Plan prihoda za unos u SAP'!$I$3:$I$501,'Plan prihoda za unos u SAP'!$C$3:$C$501,"=63",'Plan prihoda za unos u SAP'!$K$3:$K$501,"=641")</f>
        <v>0</v>
      </c>
      <c r="U100" s="187">
        <f>SUMIFS('Plan prihoda za unos u SAP'!$I$3:$I$501,'Plan prihoda za unos u SAP'!$C$3:$C$501,"=71",'Plan prihoda za unos u SAP'!$K$3:$K$501,"=641")</f>
        <v>0</v>
      </c>
      <c r="V100" s="187">
        <f>SUMIFS('Plan prihoda za unos u SAP'!$I$3:$I$501,'Plan prihoda za unos u SAP'!$C$3:$C$501,"=81",'Plan prihoda za unos u SAP'!$K$3:$K$501,"=641")</f>
        <v>0</v>
      </c>
      <c r="W100" s="187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2139</v>
      </c>
      <c r="C101" s="96" t="s">
        <v>2140</v>
      </c>
      <c r="D101" s="70">
        <f t="shared" si="23"/>
        <v>0</v>
      </c>
      <c r="E101" s="187">
        <f>SUMIFS('Plan prihoda za unos u SAP'!$I$3:$I$501,'Plan prihoda za unos u SAP'!$C$3:$C$501,"=11",'Plan prihoda za unos u SAP'!$K$3:$K$501,"=642")</f>
        <v>0</v>
      </c>
      <c r="F101" s="187">
        <f>SUMIFS('Plan prihoda za unos u SAP'!$I$3:$I$501,'Plan prihoda za unos u SAP'!$C$3:$C$501,"=12",'Plan prihoda za unos u SAP'!$K$3:$K$501,"=642")</f>
        <v>0</v>
      </c>
      <c r="G101" s="187">
        <f>SUMIFS('Plan prihoda za unos u SAP'!$I$3:$I$501,'Plan prihoda za unos u SAP'!$C$3:$C$501,"=31",'Plan prihoda za unos u SAP'!$K$3:$K$501,"=642")</f>
        <v>0</v>
      </c>
      <c r="H101" s="187">
        <f>SUMIFS('Plan prihoda za unos u SAP'!$I$3:$I$501,'Plan prihoda za unos u SAP'!$C$3:$C$501,"=41",'Plan prihoda za unos u SAP'!$K$3:$K$501,"=642")</f>
        <v>0</v>
      </c>
      <c r="I101" s="187">
        <f>SUMIFS('Plan prihoda za unos u SAP'!$I$3:$I$501,'Plan prihoda za unos u SAP'!$C$3:$C$501,"=43",'Plan prihoda za unos u SAP'!$K$3:$K$501,"=642")</f>
        <v>0</v>
      </c>
      <c r="J101" s="187">
        <f>SUMIFS('Plan prihoda za unos u SAP'!$I$3:$I$501,'Plan prihoda za unos u SAP'!$C$3:$C$501,"=51",'Plan prihoda za unos u SAP'!$K$3:$K$501,"=642")</f>
        <v>0</v>
      </c>
      <c r="K101" s="187">
        <f>SUMIFS('Plan prihoda za unos u SAP'!$I$3:$I$501,'Plan prihoda za unos u SAP'!$C$3:$C$501,"=52",'Plan prihoda za unos u SAP'!$K$3:$K$501,"=642")</f>
        <v>0</v>
      </c>
      <c r="L101" s="187">
        <f>SUMIFS('Plan prihoda za unos u SAP'!$I$3:$I$501,'Plan prihoda za unos u SAP'!$C$3:$C$501,"=552",'Plan prihoda za unos u SAP'!$K$3:$K$501,"=642")</f>
        <v>0</v>
      </c>
      <c r="M101" s="187">
        <f>SUMIFS('Plan prihoda za unos u SAP'!$I$3:$I$501,'Plan prihoda za unos u SAP'!$C$3:$C$501,"=559",'Plan prihoda za unos u SAP'!$K$3:$K$501,"=642")</f>
        <v>0</v>
      </c>
      <c r="N101" s="187">
        <f>SUMIFS('Plan prihoda za unos u SAP'!$I$3:$I$501,'Plan prihoda za unos u SAP'!$C$3:$C$501,"=561",'Plan prihoda za unos u SAP'!$K$3:$K$501,"=642")</f>
        <v>0</v>
      </c>
      <c r="O101" s="187">
        <f>SUMIFS('Plan prihoda za unos u SAP'!$I$3:$I$501,'Plan prihoda za unos u SAP'!$C$3:$C$501,"=563",'Plan prihoda za unos u SAP'!$K$3:$K$501,"=642")</f>
        <v>0</v>
      </c>
      <c r="P101" s="187">
        <f>SUMIFS('Plan prihoda za unos u SAP'!$I$3:$I$501,'Plan prihoda za unos u SAP'!$C$3:$C$501,"=573",'Plan prihoda za unos u SAP'!$K$3:$K$501,"=642")</f>
        <v>0</v>
      </c>
      <c r="Q101" s="187">
        <f>SUMIFS('Plan prihoda za unos u SAP'!$I$3:$I$501,'Plan prihoda za unos u SAP'!$C$3:$C$501,"=575",'Plan prihoda za unos u SAP'!$K$3:$K$501,"=642")</f>
        <v>0</v>
      </c>
      <c r="R101" s="187">
        <f>SUMIFS('Plan prihoda za unos u SAP'!$I$3:$I$501,'Plan prihoda za unos u SAP'!$C$3:$C$501,"=576",'Plan prihoda za unos u SAP'!$K$3:$K$501,"=642")</f>
        <v>0</v>
      </c>
      <c r="S101" s="187">
        <f>SUMIFS('Plan prihoda za unos u SAP'!$I$3:$I$501,'Plan prihoda za unos u SAP'!$C$3:$C$501,"=61",'Plan prihoda za unos u SAP'!$K$3:$K$501,"=642")</f>
        <v>0</v>
      </c>
      <c r="T101" s="187">
        <f>SUMIFS('Plan prihoda za unos u SAP'!$I$3:$I$501,'Plan prihoda za unos u SAP'!$C$3:$C$501,"=63",'Plan prihoda za unos u SAP'!$K$3:$K$501,"=642")</f>
        <v>0</v>
      </c>
      <c r="U101" s="187">
        <f>SUMIFS('Plan prihoda za unos u SAP'!$I$3:$I$501,'Plan prihoda za unos u SAP'!$C$3:$C$501,"=71",'Plan prihoda za unos u SAP'!$K$3:$K$501,"=642")</f>
        <v>0</v>
      </c>
      <c r="V101" s="187">
        <f>SUMIFS('Plan prihoda za unos u SAP'!$I$3:$I$501,'Plan prihoda za unos u SAP'!$C$3:$C$501,"=81",'Plan prihoda za unos u SAP'!$K$3:$K$501,"=642")</f>
        <v>0</v>
      </c>
      <c r="W101" s="187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3" t="s">
        <v>2141</v>
      </c>
      <c r="C102" s="96" t="s">
        <v>2142</v>
      </c>
      <c r="D102" s="70">
        <f t="shared" si="23"/>
        <v>0</v>
      </c>
      <c r="E102" s="187">
        <f>SUMIFS('Plan prihoda za unos u SAP'!$I$3:$I$501,'Plan prihoda za unos u SAP'!$C$3:$C$501,"=11",'Plan prihoda za unos u SAP'!$K$3:$K$501,"=651")</f>
        <v>0</v>
      </c>
      <c r="F102" s="187">
        <f>SUMIFS('Plan prihoda za unos u SAP'!$I$3:$I$501,'Plan prihoda za unos u SAP'!$C$3:$C$501,"=12",'Plan prihoda za unos u SAP'!$K$3:$K$501,"=651")</f>
        <v>0</v>
      </c>
      <c r="G102" s="187">
        <f>SUMIFS('Plan prihoda za unos u SAP'!$I$3:$I$501,'Plan prihoda za unos u SAP'!$C$3:$C$501,"=31",'Plan prihoda za unos u SAP'!$K$3:$K$501,"=651")</f>
        <v>0</v>
      </c>
      <c r="H102" s="187">
        <f>SUMIFS('Plan prihoda za unos u SAP'!$I$3:$I$501,'Plan prihoda za unos u SAP'!$C$3:$C$501,"=41",'Plan prihoda za unos u SAP'!$K$3:$K$501,"=651")</f>
        <v>0</v>
      </c>
      <c r="I102" s="187">
        <f>SUMIFS('Plan prihoda za unos u SAP'!$I$3:$I$501,'Plan prihoda za unos u SAP'!$C$3:$C$501,"=43",'Plan prihoda za unos u SAP'!$K$3:$K$501,"=651")</f>
        <v>0</v>
      </c>
      <c r="J102" s="187">
        <f>SUMIFS('Plan prihoda za unos u SAP'!$I$3:$I$501,'Plan prihoda za unos u SAP'!$C$3:$C$501,"=51",'Plan prihoda za unos u SAP'!$K$3:$K$501,"=651")</f>
        <v>0</v>
      </c>
      <c r="K102" s="187">
        <f>SUMIFS('Plan prihoda za unos u SAP'!$I$3:$I$501,'Plan prihoda za unos u SAP'!$C$3:$C$501,"=52",'Plan prihoda za unos u SAP'!$K$3:$K$501,"=651")</f>
        <v>0</v>
      </c>
      <c r="L102" s="187">
        <f>SUMIFS('Plan prihoda za unos u SAP'!$I$3:$I$501,'Plan prihoda za unos u SAP'!$C$3:$C$501,"=552",'Plan prihoda za unos u SAP'!$K$3:$K$501,"=651")</f>
        <v>0</v>
      </c>
      <c r="M102" s="187">
        <f>SUMIFS('Plan prihoda za unos u SAP'!$I$3:$I$501,'Plan prihoda za unos u SAP'!$C$3:$C$501,"=559",'Plan prihoda za unos u SAP'!$K$3:$K$501,"=651")</f>
        <v>0</v>
      </c>
      <c r="N102" s="187">
        <f>SUMIFS('Plan prihoda za unos u SAP'!$I$3:$I$501,'Plan prihoda za unos u SAP'!$C$3:$C$501,"=561",'Plan prihoda za unos u SAP'!$K$3:$K$501,"=651")</f>
        <v>0</v>
      </c>
      <c r="O102" s="187">
        <f>SUMIFS('Plan prihoda za unos u SAP'!$I$3:$I$501,'Plan prihoda za unos u SAP'!$C$3:$C$501,"=563",'Plan prihoda za unos u SAP'!$K$3:$K$501,"=651")</f>
        <v>0</v>
      </c>
      <c r="P102" s="187">
        <f>SUMIFS('Plan prihoda za unos u SAP'!$I$3:$I$501,'Plan prihoda za unos u SAP'!$C$3:$C$501,"=573",'Plan prihoda za unos u SAP'!$K$3:$K$501,"=651")</f>
        <v>0</v>
      </c>
      <c r="Q102" s="187">
        <f>SUMIFS('Plan prihoda za unos u SAP'!$I$3:$I$501,'Plan prihoda za unos u SAP'!$C$3:$C$501,"=575",'Plan prihoda za unos u SAP'!$K$3:$K$501,"=651")</f>
        <v>0</v>
      </c>
      <c r="R102" s="187">
        <f>SUMIFS('Plan prihoda za unos u SAP'!$I$3:$I$501,'Plan prihoda za unos u SAP'!$C$3:$C$501,"=576",'Plan prihoda za unos u SAP'!$K$3:$K$501,"=651")</f>
        <v>0</v>
      </c>
      <c r="S102" s="187">
        <f>SUMIFS('Plan prihoda za unos u SAP'!$I$3:$I$501,'Plan prihoda za unos u SAP'!$C$3:$C$501,"=61",'Plan prihoda za unos u SAP'!$K$3:$K$501,"=651")</f>
        <v>0</v>
      </c>
      <c r="T102" s="187">
        <f>SUMIFS('Plan prihoda za unos u SAP'!$I$3:$I$501,'Plan prihoda za unos u SAP'!$C$3:$C$501,"=63",'Plan prihoda za unos u SAP'!$K$3:$K$501,"=651")</f>
        <v>0</v>
      </c>
      <c r="U102" s="187">
        <f>SUMIFS('Plan prihoda za unos u SAP'!$I$3:$I$501,'Plan prihoda za unos u SAP'!$C$3:$C$501,"=71",'Plan prihoda za unos u SAP'!$K$3:$K$501,"=651")</f>
        <v>0</v>
      </c>
      <c r="V102" s="187">
        <f>SUMIFS('Plan prihoda za unos u SAP'!$I$3:$I$501,'Plan prihoda za unos u SAP'!$C$3:$C$501,"=81",'Plan prihoda za unos u SAP'!$K$3:$K$501,"=651")</f>
        <v>0</v>
      </c>
      <c r="W102" s="187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2143</v>
      </c>
      <c r="C103" s="96" t="s">
        <v>2144</v>
      </c>
      <c r="D103" s="70">
        <f t="shared" si="23"/>
        <v>2909400</v>
      </c>
      <c r="E103" s="187">
        <f>SUMIFS('Plan prihoda za unos u SAP'!$I$3:$I$501,'Plan prihoda za unos u SAP'!$C$3:$C$501,"=11",'Plan prihoda za unos u SAP'!$K$3:$K$501,"=652")</f>
        <v>0</v>
      </c>
      <c r="F103" s="187">
        <f>SUMIFS('Plan prihoda za unos u SAP'!$I$3:$I$501,'Plan prihoda za unos u SAP'!$C$3:$C$501,"=12",'Plan prihoda za unos u SAP'!$K$3:$K$501,"=652")</f>
        <v>0</v>
      </c>
      <c r="G103" s="187">
        <f>SUMIFS('Plan prihoda za unos u SAP'!$I$3:$I$501,'Plan prihoda za unos u SAP'!$C$3:$C$501,"=31",'Plan prihoda za unos u SAP'!$K$3:$K$501,"=652")</f>
        <v>0</v>
      </c>
      <c r="H103" s="187">
        <f>SUMIFS('Plan prihoda za unos u SAP'!$I$3:$I$501,'Plan prihoda za unos u SAP'!$C$3:$C$501,"=41",'Plan prihoda za unos u SAP'!$K$3:$K$501,"=652")</f>
        <v>0</v>
      </c>
      <c r="I103" s="187">
        <f>SUMIFS('Plan prihoda za unos u SAP'!$I$3:$I$501,'Plan prihoda za unos u SAP'!$C$3:$C$501,"=43",'Plan prihoda za unos u SAP'!$K$3:$K$501,"=652")</f>
        <v>2909400</v>
      </c>
      <c r="J103" s="187">
        <f>SUMIFS('Plan prihoda za unos u SAP'!$I$3:$I$501,'Plan prihoda za unos u SAP'!$C$3:$C$501,"=51",'Plan prihoda za unos u SAP'!$K$3:$K$501,"=652")</f>
        <v>0</v>
      </c>
      <c r="K103" s="187">
        <f>SUMIFS('Plan prihoda za unos u SAP'!$I$3:$I$501,'Plan prihoda za unos u SAP'!$C$3:$C$501,"=52",'Plan prihoda za unos u SAP'!$K$3:$K$501,"=652")</f>
        <v>0</v>
      </c>
      <c r="L103" s="187">
        <f>SUMIFS('Plan prihoda za unos u SAP'!$I$3:$I$501,'Plan prihoda za unos u SAP'!$C$3:$C$501,"=552",'Plan prihoda za unos u SAP'!$K$3:$K$501,"=652")</f>
        <v>0</v>
      </c>
      <c r="M103" s="187">
        <f>SUMIFS('Plan prihoda za unos u SAP'!$I$3:$I$501,'Plan prihoda za unos u SAP'!$C$3:$C$501,"=559",'Plan prihoda za unos u SAP'!$K$3:$K$501,"=652")</f>
        <v>0</v>
      </c>
      <c r="N103" s="187">
        <f>SUMIFS('Plan prihoda za unos u SAP'!$I$3:$I$501,'Plan prihoda za unos u SAP'!$C$3:$C$501,"=561",'Plan prihoda za unos u SAP'!$K$3:$K$501,"=652")</f>
        <v>0</v>
      </c>
      <c r="O103" s="187">
        <f>SUMIFS('Plan prihoda za unos u SAP'!$I$3:$I$501,'Plan prihoda za unos u SAP'!$C$3:$C$501,"=563",'Plan prihoda za unos u SAP'!$K$3:$K$501,"=652")</f>
        <v>0</v>
      </c>
      <c r="P103" s="187">
        <f>SUMIFS('Plan prihoda za unos u SAP'!$I$3:$I$501,'Plan prihoda za unos u SAP'!$C$3:$C$501,"=573",'Plan prihoda za unos u SAP'!$K$3:$K$501,"=652")</f>
        <v>0</v>
      </c>
      <c r="Q103" s="187">
        <f>SUMIFS('Plan prihoda za unos u SAP'!$I$3:$I$501,'Plan prihoda za unos u SAP'!$C$3:$C$501,"=575",'Plan prihoda za unos u SAP'!$K$3:$K$501,"=652")</f>
        <v>0</v>
      </c>
      <c r="R103" s="187">
        <f>SUMIFS('Plan prihoda za unos u SAP'!$I$3:$I$501,'Plan prihoda za unos u SAP'!$C$3:$C$501,"=576",'Plan prihoda za unos u SAP'!$K$3:$K$501,"=652")</f>
        <v>0</v>
      </c>
      <c r="S103" s="187">
        <f>SUMIFS('Plan prihoda za unos u SAP'!$I$3:$I$501,'Plan prihoda za unos u SAP'!$C$3:$C$501,"=61",'Plan prihoda za unos u SAP'!$K$3:$K$501,"=652")</f>
        <v>0</v>
      </c>
      <c r="T103" s="187">
        <f>SUMIFS('Plan prihoda za unos u SAP'!$I$3:$I$501,'Plan prihoda za unos u SAP'!$C$3:$C$501,"=63",'Plan prihoda za unos u SAP'!$K$3:$K$501,"=652")</f>
        <v>0</v>
      </c>
      <c r="U103" s="187">
        <f>SUMIFS('Plan prihoda za unos u SAP'!$I$3:$I$501,'Plan prihoda za unos u SAP'!$C$3:$C$501,"=71",'Plan prihoda za unos u SAP'!$K$3:$K$501,"=652")</f>
        <v>0</v>
      </c>
      <c r="V103" s="187">
        <f>SUMIFS('Plan prihoda za unos u SAP'!$I$3:$I$501,'Plan prihoda za unos u SAP'!$C$3:$C$501,"=81",'Plan prihoda za unos u SAP'!$K$3:$K$501,"=652")</f>
        <v>0</v>
      </c>
      <c r="W103" s="187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2145</v>
      </c>
      <c r="C104" s="96" t="s">
        <v>2146</v>
      </c>
      <c r="D104" s="70">
        <f t="shared" si="23"/>
        <v>1940000</v>
      </c>
      <c r="E104" s="187">
        <f>SUMIFS('Plan prihoda za unos u SAP'!$I$3:$I$501,'Plan prihoda za unos u SAP'!$C$3:$C$501,"=11",'Plan prihoda za unos u SAP'!$K$3:$K$501,"=661")</f>
        <v>0</v>
      </c>
      <c r="F104" s="187">
        <f>SUMIFS('Plan prihoda za unos u SAP'!$I$3:$I$501,'Plan prihoda za unos u SAP'!$C$3:$C$501,"=12",'Plan prihoda za unos u SAP'!$K$3:$K$501,"=661")</f>
        <v>0</v>
      </c>
      <c r="G104" s="187">
        <f>SUMIFS('Plan prihoda za unos u SAP'!$I$3:$I$501,'Plan prihoda za unos u SAP'!$C$3:$C$501,"=31",'Plan prihoda za unos u SAP'!$K$3:$K$501,"=661")</f>
        <v>1940000</v>
      </c>
      <c r="H104" s="187">
        <f>SUMIFS('Plan prihoda za unos u SAP'!$I$3:$I$501,'Plan prihoda za unos u SAP'!$C$3:$C$501,"=41",'Plan prihoda za unos u SAP'!$K$3:$K$501,"=661")</f>
        <v>0</v>
      </c>
      <c r="I104" s="187">
        <f>SUMIFS('Plan prihoda za unos u SAP'!$I$3:$I$501,'Plan prihoda za unos u SAP'!$C$3:$C$501,"=43",'Plan prihoda za unos u SAP'!$K$3:$K$501,"=661")</f>
        <v>0</v>
      </c>
      <c r="J104" s="187">
        <f>SUMIFS('Plan prihoda za unos u SAP'!$I$3:$I$501,'Plan prihoda za unos u SAP'!$C$3:$C$501,"=51",'Plan prihoda za unos u SAP'!$K$3:$K$501,"=661")</f>
        <v>0</v>
      </c>
      <c r="K104" s="187">
        <f>SUMIFS('Plan prihoda za unos u SAP'!$I$3:$I$501,'Plan prihoda za unos u SAP'!$C$3:$C$501,"=52",'Plan prihoda za unos u SAP'!$K$3:$K$501,"=661")</f>
        <v>0</v>
      </c>
      <c r="L104" s="187">
        <f>SUMIFS('Plan prihoda za unos u SAP'!$I$3:$I$501,'Plan prihoda za unos u SAP'!$C$3:$C$501,"=552",'Plan prihoda za unos u SAP'!$K$3:$K$501,"=661")</f>
        <v>0</v>
      </c>
      <c r="M104" s="187">
        <f>SUMIFS('Plan prihoda za unos u SAP'!$I$3:$I$501,'Plan prihoda za unos u SAP'!$C$3:$C$501,"=559",'Plan prihoda za unos u SAP'!$K$3:$K$501,"=661")</f>
        <v>0</v>
      </c>
      <c r="N104" s="187">
        <f>SUMIFS('Plan prihoda za unos u SAP'!$I$3:$I$501,'Plan prihoda za unos u SAP'!$C$3:$C$501,"=561",'Plan prihoda za unos u SAP'!$K$3:$K$501,"=661")</f>
        <v>0</v>
      </c>
      <c r="O104" s="187">
        <f>SUMIFS('Plan prihoda za unos u SAP'!$I$3:$I$501,'Plan prihoda za unos u SAP'!$C$3:$C$501,"=563",'Plan prihoda za unos u SAP'!$K$3:$K$501,"=661")</f>
        <v>0</v>
      </c>
      <c r="P104" s="187">
        <f>SUMIFS('Plan prihoda za unos u SAP'!$I$3:$I$501,'Plan prihoda za unos u SAP'!$C$3:$C$501,"=573",'Plan prihoda za unos u SAP'!$K$3:$K$501,"=661")</f>
        <v>0</v>
      </c>
      <c r="Q104" s="187">
        <f>SUMIFS('Plan prihoda za unos u SAP'!$I$3:$I$501,'Plan prihoda za unos u SAP'!$C$3:$C$501,"=575",'Plan prihoda za unos u SAP'!$K$3:$K$501,"=661")</f>
        <v>0</v>
      </c>
      <c r="R104" s="187">
        <f>SUMIFS('Plan prihoda za unos u SAP'!$I$3:$I$501,'Plan prihoda za unos u SAP'!$C$3:$C$501,"=576",'Plan prihoda za unos u SAP'!$K$3:$K$501,"=661")</f>
        <v>0</v>
      </c>
      <c r="S104" s="187">
        <f>SUMIFS('Plan prihoda za unos u SAP'!$I$3:$I$501,'Plan prihoda za unos u SAP'!$C$3:$C$501,"=61",'Plan prihoda za unos u SAP'!$K$3:$K$501,"=661")</f>
        <v>0</v>
      </c>
      <c r="T104" s="187">
        <f>SUMIFS('Plan prihoda za unos u SAP'!$I$3:$I$501,'Plan prihoda za unos u SAP'!$C$3:$C$501,"=63",'Plan prihoda za unos u SAP'!$K$3:$K$501,"=661")</f>
        <v>0</v>
      </c>
      <c r="U104" s="187">
        <f>SUMIFS('Plan prihoda za unos u SAP'!$I$3:$I$501,'Plan prihoda za unos u SAP'!$C$3:$C$501,"=71",'Plan prihoda za unos u SAP'!$K$3:$K$501,"=661")</f>
        <v>0</v>
      </c>
      <c r="V104" s="187">
        <f>SUMIFS('Plan prihoda za unos u SAP'!$I$3:$I$501,'Plan prihoda za unos u SAP'!$C$3:$C$501,"=81",'Plan prihoda za unos u SAP'!$K$3:$K$501,"=661")</f>
        <v>0</v>
      </c>
      <c r="W104" s="187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2147</v>
      </c>
      <c r="C105" s="96" t="s">
        <v>2148</v>
      </c>
      <c r="D105" s="70">
        <f t="shared" si="23"/>
        <v>0</v>
      </c>
      <c r="E105" s="187">
        <f>SUMIFS('Plan prihoda za unos u SAP'!$I$3:$I$501,'Plan prihoda za unos u SAP'!$C$3:$C$501,"=11",'Plan prihoda za unos u SAP'!$K$3:$K$501,"=663")</f>
        <v>0</v>
      </c>
      <c r="F105" s="187">
        <f>SUMIFS('Plan prihoda za unos u SAP'!$I$3:$I$501,'Plan prihoda za unos u SAP'!$C$3:$C$501,"=12",'Plan prihoda za unos u SAP'!$K$3:$K$501,"=663")</f>
        <v>0</v>
      </c>
      <c r="G105" s="187">
        <f>SUMIFS('Plan prihoda za unos u SAP'!$I$3:$I$501,'Plan prihoda za unos u SAP'!$C$3:$C$501,"=31",'Plan prihoda za unos u SAP'!$K$3:$K$501,"=663")</f>
        <v>0</v>
      </c>
      <c r="H105" s="187">
        <f>SUMIFS('Plan prihoda za unos u SAP'!$I$3:$I$501,'Plan prihoda za unos u SAP'!$C$3:$C$501,"=41",'Plan prihoda za unos u SAP'!$K$3:$K$501,"=663")</f>
        <v>0</v>
      </c>
      <c r="I105" s="187">
        <f>SUMIFS('Plan prihoda za unos u SAP'!$I$3:$I$501,'Plan prihoda za unos u SAP'!$C$3:$C$501,"=43",'Plan prihoda za unos u SAP'!$K$3:$K$501,"=663")</f>
        <v>0</v>
      </c>
      <c r="J105" s="187">
        <f>SUMIFS('Plan prihoda za unos u SAP'!$I$3:$I$501,'Plan prihoda za unos u SAP'!$C$3:$C$501,"=51",'Plan prihoda za unos u SAP'!$K$3:$K$501,"=663")</f>
        <v>0</v>
      </c>
      <c r="K105" s="187">
        <f>SUMIFS('Plan prihoda za unos u SAP'!$I$3:$I$501,'Plan prihoda za unos u SAP'!$C$3:$C$501,"=52",'Plan prihoda za unos u SAP'!$K$3:$K$501,"=663")</f>
        <v>0</v>
      </c>
      <c r="L105" s="187">
        <f>SUMIFS('Plan prihoda za unos u SAP'!$I$3:$I$501,'Plan prihoda za unos u SAP'!$C$3:$C$501,"=552",'Plan prihoda za unos u SAP'!$K$3:$K$501,"=663")</f>
        <v>0</v>
      </c>
      <c r="M105" s="187">
        <f>SUMIFS('Plan prihoda za unos u SAP'!$I$3:$I$501,'Plan prihoda za unos u SAP'!$C$3:$C$501,"=559",'Plan prihoda za unos u SAP'!$K$3:$K$501,"=663")</f>
        <v>0</v>
      </c>
      <c r="N105" s="187">
        <f>SUMIFS('Plan prihoda za unos u SAP'!$I$3:$I$501,'Plan prihoda za unos u SAP'!$C$3:$C$501,"=561",'Plan prihoda za unos u SAP'!$K$3:$K$501,"=663")</f>
        <v>0</v>
      </c>
      <c r="O105" s="187">
        <f>SUMIFS('Plan prihoda za unos u SAP'!$I$3:$I$501,'Plan prihoda za unos u SAP'!$C$3:$C$501,"=563",'Plan prihoda za unos u SAP'!$K$3:$K$501,"=663")</f>
        <v>0</v>
      </c>
      <c r="P105" s="187">
        <f>SUMIFS('Plan prihoda za unos u SAP'!$I$3:$I$501,'Plan prihoda za unos u SAP'!$C$3:$C$501,"=573",'Plan prihoda za unos u SAP'!$K$3:$K$501,"=663")</f>
        <v>0</v>
      </c>
      <c r="Q105" s="187">
        <f>SUMIFS('Plan prihoda za unos u SAP'!$I$3:$I$501,'Plan prihoda za unos u SAP'!$C$3:$C$501,"=575",'Plan prihoda za unos u SAP'!$K$3:$K$501,"=663")</f>
        <v>0</v>
      </c>
      <c r="R105" s="187">
        <f>SUMIFS('Plan prihoda za unos u SAP'!$I$3:$I$501,'Plan prihoda za unos u SAP'!$C$3:$C$501,"=576",'Plan prihoda za unos u SAP'!$K$3:$K$501,"=663")</f>
        <v>0</v>
      </c>
      <c r="S105" s="187">
        <f>SUMIFS('Plan prihoda za unos u SAP'!$I$3:$I$501,'Plan prihoda za unos u SAP'!$C$3:$C$501,"=61",'Plan prihoda za unos u SAP'!$K$3:$K$501,"=663")</f>
        <v>0</v>
      </c>
      <c r="T105" s="187">
        <f>SUMIFS('Plan prihoda za unos u SAP'!$I$3:$I$501,'Plan prihoda za unos u SAP'!$C$3:$C$501,"=63",'Plan prihoda za unos u SAP'!$K$3:$K$501,"=663")</f>
        <v>0</v>
      </c>
      <c r="U105" s="187">
        <f>SUMIFS('Plan prihoda za unos u SAP'!$I$3:$I$501,'Plan prihoda za unos u SAP'!$C$3:$C$501,"=71",'Plan prihoda za unos u SAP'!$K$3:$K$501,"=663")</f>
        <v>0</v>
      </c>
      <c r="V105" s="187">
        <f>SUMIFS('Plan prihoda za unos u SAP'!$I$3:$I$501,'Plan prihoda za unos u SAP'!$C$3:$C$501,"=81",'Plan prihoda za unos u SAP'!$K$3:$K$501,"=663")</f>
        <v>0</v>
      </c>
      <c r="W105" s="187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2149</v>
      </c>
      <c r="C106" s="129" t="s">
        <v>598</v>
      </c>
      <c r="D106" s="70">
        <f t="shared" si="23"/>
        <v>17298710</v>
      </c>
      <c r="E106" s="187">
        <f>SUMIFS('Plan prihoda za unos u SAP'!$I$3:$I$501,'Plan prihoda za unos u SAP'!$C$3:$C$501,"=11",'Plan prihoda za unos u SAP'!$K$3:$K$501,"=671")</f>
        <v>17298710</v>
      </c>
      <c r="F106" s="187">
        <f>SUMIFS('Plan prihoda za unos u SAP'!$I$3:$I$501,'Plan prihoda za unos u SAP'!$C$3:$C$501,"=12",'Plan prihoda za unos u SAP'!$K$3:$K$501,"=671")</f>
        <v>0</v>
      </c>
      <c r="G106" s="187">
        <f>SUMIFS('Plan prihoda za unos u SAP'!$I$3:$I$501,'Plan prihoda za unos u SAP'!$C$3:$C$501,"=31",'Plan prihoda za unos u SAP'!$K$3:$K$501,"=671")</f>
        <v>0</v>
      </c>
      <c r="H106" s="187">
        <f>SUMIFS('Plan prihoda za unos u SAP'!$I$3:$I$501,'Plan prihoda za unos u SAP'!$C$3:$C$501,"=41",'Plan prihoda za unos u SAP'!$K$3:$K$501,"=671")</f>
        <v>0</v>
      </c>
      <c r="I106" s="187">
        <f>SUMIFS('Plan prihoda za unos u SAP'!$I$3:$I$501,'Plan prihoda za unos u SAP'!$C$3:$C$501,"=43",'Plan prihoda za unos u SAP'!$K$3:$K$501,"=671")</f>
        <v>0</v>
      </c>
      <c r="J106" s="187">
        <f>SUMIFS('Plan prihoda za unos u SAP'!$I$3:$I$501,'Plan prihoda za unos u SAP'!$C$3:$C$501,"=51",'Plan prihoda za unos u SAP'!$K$3:$K$501,"=671")</f>
        <v>0</v>
      </c>
      <c r="K106" s="187">
        <f>SUMIFS('Plan prihoda za unos u SAP'!$I$3:$I$501,'Plan prihoda za unos u SAP'!$C$3:$C$501,"=52",'Plan prihoda za unos u SAP'!$K$3:$K$501,"=671")</f>
        <v>0</v>
      </c>
      <c r="L106" s="187">
        <f>SUMIFS('Plan prihoda za unos u SAP'!$I$3:$I$501,'Plan prihoda za unos u SAP'!$C$3:$C$501,"=552",'Plan prihoda za unos u SAP'!$K$3:$K$501,"=671")</f>
        <v>0</v>
      </c>
      <c r="M106" s="187">
        <f>SUMIFS('Plan prihoda za unos u SAP'!$I$3:$I$501,'Plan prihoda za unos u SAP'!$C$3:$C$501,"=559",'Plan prihoda za unos u SAP'!$K$3:$K$501,"=671")</f>
        <v>0</v>
      </c>
      <c r="N106" s="187">
        <f>SUMIFS('Plan prihoda za unos u SAP'!$I$3:$I$501,'Plan prihoda za unos u SAP'!$C$3:$C$501,"=561",'Plan prihoda za unos u SAP'!$K$3:$K$501,"=671")</f>
        <v>0</v>
      </c>
      <c r="O106" s="187">
        <f>SUMIFS('Plan prihoda za unos u SAP'!$I$3:$I$501,'Plan prihoda za unos u SAP'!$C$3:$C$501,"=563",'Plan prihoda za unos u SAP'!$K$3:$K$501,"=671")</f>
        <v>0</v>
      </c>
      <c r="P106" s="187">
        <f>SUMIFS('Plan prihoda za unos u SAP'!$I$3:$I$501,'Plan prihoda za unos u SAP'!$C$3:$C$501,"=573",'Plan prihoda za unos u SAP'!$K$3:$K$501,"=671")</f>
        <v>0</v>
      </c>
      <c r="Q106" s="187">
        <f>SUMIFS('Plan prihoda za unos u SAP'!$I$3:$I$501,'Plan prihoda za unos u SAP'!$C$3:$C$501,"=575",'Plan prihoda za unos u SAP'!$K$3:$K$501,"=671")</f>
        <v>0</v>
      </c>
      <c r="R106" s="187">
        <f>SUMIFS('Plan prihoda za unos u SAP'!$I$3:$I$501,'Plan prihoda za unos u SAP'!$C$3:$C$501,"=576",'Plan prihoda za unos u SAP'!$K$3:$K$501,"=671")</f>
        <v>0</v>
      </c>
      <c r="S106" s="187">
        <f>SUMIFS('Plan prihoda za unos u SAP'!$I$3:$I$501,'Plan prihoda za unos u SAP'!$C$3:$C$501,"=61",'Plan prihoda za unos u SAP'!$K$3:$K$501,"=671")</f>
        <v>0</v>
      </c>
      <c r="T106" s="187">
        <f>SUMIFS('Plan prihoda za unos u SAP'!$I$3:$I$501,'Plan prihoda za unos u SAP'!$C$3:$C$501,"=63",'Plan prihoda za unos u SAP'!$K$3:$K$501,"=671")</f>
        <v>0</v>
      </c>
      <c r="U106" s="187">
        <f>SUMIFS('Plan prihoda za unos u SAP'!$I$3:$I$501,'Plan prihoda za unos u SAP'!$C$3:$C$501,"=71",'Plan prihoda za unos u SAP'!$K$3:$K$501,"=671")</f>
        <v>0</v>
      </c>
      <c r="V106" s="187">
        <f>SUMIFS('Plan prihoda za unos u SAP'!$I$3:$I$501,'Plan prihoda za unos u SAP'!$C$3:$C$501,"=81",'Plan prihoda za unos u SAP'!$K$3:$K$501,"=671")</f>
        <v>0</v>
      </c>
      <c r="W106" s="187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2150</v>
      </c>
      <c r="C107" s="96" t="s">
        <v>2151</v>
      </c>
      <c r="D107" s="70">
        <f t="shared" si="23"/>
        <v>0</v>
      </c>
      <c r="E107" s="187">
        <f>SUMIFS('Plan prihoda za unos u SAP'!$I$3:$I$501,'Plan prihoda za unos u SAP'!$C$3:$C$501,"=11",'Plan prihoda za unos u SAP'!$K$3:$K$501,"=681")</f>
        <v>0</v>
      </c>
      <c r="F107" s="187">
        <f>SUMIFS('Plan prihoda za unos u SAP'!$I$3:$I$501,'Plan prihoda za unos u SAP'!$C$3:$C$501,"=12",'Plan prihoda za unos u SAP'!$K$3:$K$501,"=681")</f>
        <v>0</v>
      </c>
      <c r="G107" s="187">
        <f>SUMIFS('Plan prihoda za unos u SAP'!$I$3:$I$501,'Plan prihoda za unos u SAP'!$C$3:$C$501,"=31",'Plan prihoda za unos u SAP'!$K$3:$K$501,"=681")</f>
        <v>0</v>
      </c>
      <c r="H107" s="187">
        <f>SUMIFS('Plan prihoda za unos u SAP'!$I$3:$I$501,'Plan prihoda za unos u SAP'!$C$3:$C$501,"=41",'Plan prihoda za unos u SAP'!$K$3:$K$501,"=681")</f>
        <v>0</v>
      </c>
      <c r="I107" s="187">
        <f>SUMIFS('Plan prihoda za unos u SAP'!$I$3:$I$501,'Plan prihoda za unos u SAP'!$C$3:$C$501,"=43",'Plan prihoda za unos u SAP'!$K$3:$K$501,"=681")</f>
        <v>0</v>
      </c>
      <c r="J107" s="187">
        <f>SUMIFS('Plan prihoda za unos u SAP'!$I$3:$I$501,'Plan prihoda za unos u SAP'!$C$3:$C$501,"=51",'Plan prihoda za unos u SAP'!$K$3:$K$501,"=681")</f>
        <v>0</v>
      </c>
      <c r="K107" s="187">
        <f>SUMIFS('Plan prihoda za unos u SAP'!$I$3:$I$501,'Plan prihoda za unos u SAP'!$C$3:$C$501,"=52",'Plan prihoda za unos u SAP'!$K$3:$K$501,"=681")</f>
        <v>0</v>
      </c>
      <c r="L107" s="187">
        <f>SUMIFS('Plan prihoda za unos u SAP'!$I$3:$I$501,'Plan prihoda za unos u SAP'!$C$3:$C$501,"=552",'Plan prihoda za unos u SAP'!$K$3:$K$501,"=681")</f>
        <v>0</v>
      </c>
      <c r="M107" s="187">
        <f>SUMIFS('Plan prihoda za unos u SAP'!$I$3:$I$501,'Plan prihoda za unos u SAP'!$C$3:$C$501,"=559",'Plan prihoda za unos u SAP'!$K$3:$K$501,"=681")</f>
        <v>0</v>
      </c>
      <c r="N107" s="187">
        <f>SUMIFS('Plan prihoda za unos u SAP'!$I$3:$I$501,'Plan prihoda za unos u SAP'!$C$3:$C$501,"=561",'Plan prihoda za unos u SAP'!$K$3:$K$501,"=681")</f>
        <v>0</v>
      </c>
      <c r="O107" s="187">
        <f>SUMIFS('Plan prihoda za unos u SAP'!$I$3:$I$501,'Plan prihoda za unos u SAP'!$C$3:$C$501,"=563",'Plan prihoda za unos u SAP'!$K$3:$K$501,"=681")</f>
        <v>0</v>
      </c>
      <c r="P107" s="187">
        <f>SUMIFS('Plan prihoda za unos u SAP'!$I$3:$I$501,'Plan prihoda za unos u SAP'!$C$3:$C$501,"=573",'Plan prihoda za unos u SAP'!$K$3:$K$501,"=681")</f>
        <v>0</v>
      </c>
      <c r="Q107" s="187">
        <f>SUMIFS('Plan prihoda za unos u SAP'!$I$3:$I$501,'Plan prihoda za unos u SAP'!$C$3:$C$501,"=575",'Plan prihoda za unos u SAP'!$K$3:$K$501,"=681")</f>
        <v>0</v>
      </c>
      <c r="R107" s="187">
        <f>SUMIFS('Plan prihoda za unos u SAP'!$I$3:$I$501,'Plan prihoda za unos u SAP'!$C$3:$C$501,"=576",'Plan prihoda za unos u SAP'!$K$3:$K$501,"=681")</f>
        <v>0</v>
      </c>
      <c r="S107" s="187">
        <f>SUMIFS('Plan prihoda za unos u SAP'!$I$3:$I$501,'Plan prihoda za unos u SAP'!$C$3:$C$501,"=61",'Plan prihoda za unos u SAP'!$K$3:$K$501,"=681")</f>
        <v>0</v>
      </c>
      <c r="T107" s="187">
        <f>SUMIFS('Plan prihoda za unos u SAP'!$I$3:$I$501,'Plan prihoda za unos u SAP'!$C$3:$C$501,"=63",'Plan prihoda za unos u SAP'!$K$3:$K$501,"=681")</f>
        <v>0</v>
      </c>
      <c r="U107" s="187">
        <f>SUMIFS('Plan prihoda za unos u SAP'!$I$3:$I$501,'Plan prihoda za unos u SAP'!$C$3:$C$501,"=71",'Plan prihoda za unos u SAP'!$K$3:$K$501,"=681")</f>
        <v>0</v>
      </c>
      <c r="V107" s="187">
        <f>SUMIFS('Plan prihoda za unos u SAP'!$I$3:$I$501,'Plan prihoda za unos u SAP'!$C$3:$C$501,"=81",'Plan prihoda za unos u SAP'!$K$3:$K$501,"=681")</f>
        <v>0</v>
      </c>
      <c r="W107" s="187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2152</v>
      </c>
      <c r="C108" s="96" t="s">
        <v>2153</v>
      </c>
      <c r="D108" s="70">
        <f t="shared" si="23"/>
        <v>0</v>
      </c>
      <c r="E108" s="187">
        <f>SUMIFS('Plan prihoda za unos u SAP'!$I$3:$I$501,'Plan prihoda za unos u SAP'!$C$3:$C$501,"=11",'Plan prihoda za unos u SAP'!$K$3:$K$501,"=683")</f>
        <v>0</v>
      </c>
      <c r="F108" s="187">
        <f>SUMIFS('Plan prihoda za unos u SAP'!$I$3:$I$501,'Plan prihoda za unos u SAP'!$C$3:$C$501,"=12",'Plan prihoda za unos u SAP'!$K$3:$K$501,"=683")</f>
        <v>0</v>
      </c>
      <c r="G108" s="187">
        <f>SUMIFS('Plan prihoda za unos u SAP'!$I$3:$I$501,'Plan prihoda za unos u SAP'!$C$3:$C$501,"=31",'Plan prihoda za unos u SAP'!$K$3:$K$501,"=683")</f>
        <v>0</v>
      </c>
      <c r="H108" s="187">
        <f>SUMIFS('Plan prihoda za unos u SAP'!$I$3:$I$501,'Plan prihoda za unos u SAP'!$C$3:$C$501,"=41",'Plan prihoda za unos u SAP'!$K$3:$K$501,"=683")</f>
        <v>0</v>
      </c>
      <c r="I108" s="187">
        <f>SUMIFS('Plan prihoda za unos u SAP'!$I$3:$I$501,'Plan prihoda za unos u SAP'!$C$3:$C$501,"=43",'Plan prihoda za unos u SAP'!$K$3:$K$501,"=683")</f>
        <v>0</v>
      </c>
      <c r="J108" s="187">
        <f>SUMIFS('Plan prihoda za unos u SAP'!$I$3:$I$501,'Plan prihoda za unos u SAP'!$C$3:$C$501,"=51",'Plan prihoda za unos u SAP'!$K$3:$K$501,"=683")</f>
        <v>0</v>
      </c>
      <c r="K108" s="187">
        <f>SUMIFS('Plan prihoda za unos u SAP'!$I$3:$I$501,'Plan prihoda za unos u SAP'!$C$3:$C$501,"=52",'Plan prihoda za unos u SAP'!$K$3:$K$501,"=683")</f>
        <v>0</v>
      </c>
      <c r="L108" s="187">
        <f>SUMIFS('Plan prihoda za unos u SAP'!$I$3:$I$501,'Plan prihoda za unos u SAP'!$C$3:$C$501,"=552",'Plan prihoda za unos u SAP'!$K$3:$K$501,"=683")</f>
        <v>0</v>
      </c>
      <c r="M108" s="187">
        <f>SUMIFS('Plan prihoda za unos u SAP'!$I$3:$I$501,'Plan prihoda za unos u SAP'!$C$3:$C$501,"=559",'Plan prihoda za unos u SAP'!$K$3:$K$501,"=683")</f>
        <v>0</v>
      </c>
      <c r="N108" s="187">
        <f>SUMIFS('Plan prihoda za unos u SAP'!$I$3:$I$501,'Plan prihoda za unos u SAP'!$C$3:$C$501,"=561",'Plan prihoda za unos u SAP'!$K$3:$K$501,"=683")</f>
        <v>0</v>
      </c>
      <c r="O108" s="187">
        <f>SUMIFS('Plan prihoda za unos u SAP'!$I$3:$I$501,'Plan prihoda za unos u SAP'!$C$3:$C$501,"=563",'Plan prihoda za unos u SAP'!$K$3:$K$501,"=683")</f>
        <v>0</v>
      </c>
      <c r="P108" s="187">
        <f>SUMIFS('Plan prihoda za unos u SAP'!$I$3:$I$501,'Plan prihoda za unos u SAP'!$C$3:$C$501,"=573",'Plan prihoda za unos u SAP'!$K$3:$K$501,"=683")</f>
        <v>0</v>
      </c>
      <c r="Q108" s="187">
        <f>SUMIFS('Plan prihoda za unos u SAP'!$I$3:$I$501,'Plan prihoda za unos u SAP'!$C$3:$C$501,"=575",'Plan prihoda za unos u SAP'!$K$3:$K$501,"=683")</f>
        <v>0</v>
      </c>
      <c r="R108" s="187">
        <f>SUMIFS('Plan prihoda za unos u SAP'!$I$3:$I$501,'Plan prihoda za unos u SAP'!$C$3:$C$501,"=576",'Plan prihoda za unos u SAP'!$K$3:$K$501,"=683")</f>
        <v>0</v>
      </c>
      <c r="S108" s="187">
        <f>SUMIFS('Plan prihoda za unos u SAP'!$I$3:$I$501,'Plan prihoda za unos u SAP'!$C$3:$C$501,"=61",'Plan prihoda za unos u SAP'!$K$3:$K$501,"=683")</f>
        <v>0</v>
      </c>
      <c r="T108" s="187">
        <f>SUMIFS('Plan prihoda za unos u SAP'!$I$3:$I$501,'Plan prihoda za unos u SAP'!$C$3:$C$501,"=63",'Plan prihoda za unos u SAP'!$K$3:$K$501,"=683")</f>
        <v>0</v>
      </c>
      <c r="U108" s="187">
        <f>SUMIFS('Plan prihoda za unos u SAP'!$I$3:$I$501,'Plan prihoda za unos u SAP'!$C$3:$C$501,"=71",'Plan prihoda za unos u SAP'!$K$3:$K$501,"=683")</f>
        <v>0</v>
      </c>
      <c r="V108" s="187">
        <f>SUMIFS('Plan prihoda za unos u SAP'!$I$3:$I$501,'Plan prihoda za unos u SAP'!$C$3:$C$501,"=81",'Plan prihoda za unos u SAP'!$K$3:$K$501,"=683")</f>
        <v>0</v>
      </c>
      <c r="W108" s="187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2154</v>
      </c>
      <c r="C109" s="99" t="s">
        <v>2155</v>
      </c>
      <c r="D109" s="70">
        <f t="shared" si="23"/>
        <v>22424680</v>
      </c>
      <c r="E109" s="4">
        <f>SUM(E93:E108)</f>
        <v>17298710</v>
      </c>
      <c r="F109" s="4">
        <f t="shared" ref="F109:W109" si="27">SUM(F93:F108)</f>
        <v>0</v>
      </c>
      <c r="G109" s="4">
        <f t="shared" si="27"/>
        <v>1940000</v>
      </c>
      <c r="H109" s="4">
        <f t="shared" si="27"/>
        <v>0</v>
      </c>
      <c r="I109" s="4">
        <f t="shared" si="27"/>
        <v>2909400</v>
      </c>
      <c r="J109" s="4">
        <f t="shared" si="27"/>
        <v>17500</v>
      </c>
      <c r="K109" s="4">
        <f t="shared" si="27"/>
        <v>259070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2156</v>
      </c>
      <c r="C110" s="100" t="s">
        <v>2157</v>
      </c>
      <c r="D110" s="70">
        <f t="shared" si="23"/>
        <v>0</v>
      </c>
      <c r="E110" s="187">
        <f>SUMIFS('Plan prihoda za unos u SAP'!$I$3:$I$501,'Plan prihoda za unos u SAP'!$C$3:$C$501,"=11",'Plan prihoda za unos u SAP'!$K$3:$K$501,"=711")</f>
        <v>0</v>
      </c>
      <c r="F110" s="187">
        <f>SUMIFS('Plan prihoda za unos u SAP'!$I$3:$I$501,'Plan prihoda za unos u SAP'!$C$3:$C$501,"=12",'Plan prihoda za unos u SAP'!$K$3:$K$501,"=711")</f>
        <v>0</v>
      </c>
      <c r="G110" s="187">
        <f>SUMIFS('Plan prihoda za unos u SAP'!$I$3:$I$501,'Plan prihoda za unos u SAP'!$C$3:$C$501,"=31",'Plan prihoda za unos u SAP'!$K$3:$K$501,"=711")</f>
        <v>0</v>
      </c>
      <c r="H110" s="187">
        <f>SUMIFS('Plan prihoda za unos u SAP'!$I$3:$I$501,'Plan prihoda za unos u SAP'!$C$3:$C$501,"=41",'Plan prihoda za unos u SAP'!$K$3:$K$501,"=711")</f>
        <v>0</v>
      </c>
      <c r="I110" s="187">
        <f>SUMIFS('Plan prihoda za unos u SAP'!$I$3:$I$501,'Plan prihoda za unos u SAP'!$C$3:$C$501,"=43",'Plan prihoda za unos u SAP'!$K$3:$K$501,"=711")</f>
        <v>0</v>
      </c>
      <c r="J110" s="187">
        <f>SUMIFS('Plan prihoda za unos u SAP'!$I$3:$I$501,'Plan prihoda za unos u SAP'!$C$3:$C$501,"=51",'Plan prihoda za unos u SAP'!$K$3:$K$501,"=711")</f>
        <v>0</v>
      </c>
      <c r="K110" s="187">
        <f>SUMIFS('Plan prihoda za unos u SAP'!$I$3:$I$501,'Plan prihoda za unos u SAP'!$C$3:$C$501,"=52",'Plan prihoda za unos u SAP'!$K$3:$K$501,"=711")</f>
        <v>0</v>
      </c>
      <c r="L110" s="187">
        <f>SUMIFS('Plan prihoda za unos u SAP'!$I$3:$I$501,'Plan prihoda za unos u SAP'!$C$3:$C$501,"=552",'Plan prihoda za unos u SAP'!$K$3:$K$501,"=711")</f>
        <v>0</v>
      </c>
      <c r="M110" s="187">
        <f>SUMIFS('Plan prihoda za unos u SAP'!$I$3:$I$501,'Plan prihoda za unos u SAP'!$C$3:$C$501,"=559",'Plan prihoda za unos u SAP'!$K$3:$K$501,"=711")</f>
        <v>0</v>
      </c>
      <c r="N110" s="187">
        <f>SUMIFS('Plan prihoda za unos u SAP'!$I$3:$I$501,'Plan prihoda za unos u SAP'!$C$3:$C$501,"=561",'Plan prihoda za unos u SAP'!$K$3:$K$501,"=711")</f>
        <v>0</v>
      </c>
      <c r="O110" s="187">
        <f>SUMIFS('Plan prihoda za unos u SAP'!$I$3:$I$501,'Plan prihoda za unos u SAP'!$C$3:$C$501,"=563",'Plan prihoda za unos u SAP'!$K$3:$K$501,"=711")</f>
        <v>0</v>
      </c>
      <c r="P110" s="187">
        <f>SUMIFS('Plan prihoda za unos u SAP'!$I$3:$I$501,'Plan prihoda za unos u SAP'!$C$3:$C$501,"=573",'Plan prihoda za unos u SAP'!$K$3:$K$501,"=711")</f>
        <v>0</v>
      </c>
      <c r="Q110" s="187">
        <f>SUMIFS('Plan prihoda za unos u SAP'!$I$3:$I$501,'Plan prihoda za unos u SAP'!$C$3:$C$501,"=575",'Plan prihoda za unos u SAP'!$K$3:$K$501,"=711")</f>
        <v>0</v>
      </c>
      <c r="R110" s="187">
        <f>SUMIFS('Plan prihoda za unos u SAP'!$I$3:$I$501,'Plan prihoda za unos u SAP'!$C$3:$C$501,"=576",'Plan prihoda za unos u SAP'!$K$3:$K$501,"=711")</f>
        <v>0</v>
      </c>
      <c r="S110" s="187">
        <f>SUMIFS('Plan prihoda za unos u SAP'!$I$3:$I$501,'Plan prihoda za unos u SAP'!$C$3:$C$501,"=61",'Plan prihoda za unos u SAP'!$K$3:$K$501,"=711")</f>
        <v>0</v>
      </c>
      <c r="T110" s="187">
        <f>SUMIFS('Plan prihoda za unos u SAP'!$I$3:$I$501,'Plan prihoda za unos u SAP'!$C$3:$C$501,"=63",'Plan prihoda za unos u SAP'!$K$3:$K$501,"=711")</f>
        <v>0</v>
      </c>
      <c r="U110" s="187">
        <f>SUMIFS('Plan prihoda za unos u SAP'!$I$3:$I$501,'Plan prihoda za unos u SAP'!$C$3:$C$501,"=71",'Plan prihoda za unos u SAP'!$K$3:$K$501,"=711")</f>
        <v>0</v>
      </c>
      <c r="V110" s="187">
        <f>SUMIFS('Plan prihoda za unos u SAP'!$I$3:$I$501,'Plan prihoda za unos u SAP'!$C$3:$C$501,"=81",'Plan prihoda za unos u SAP'!$K$3:$K$501,"=711")</f>
        <v>0</v>
      </c>
      <c r="W110" s="187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2158</v>
      </c>
      <c r="C111" s="100" t="s">
        <v>2159</v>
      </c>
      <c r="D111" s="70">
        <f t="shared" si="23"/>
        <v>0</v>
      </c>
      <c r="E111" s="187">
        <f>SUMIFS('Plan prihoda za unos u SAP'!$I$3:$I$501,'Plan prihoda za unos u SAP'!$C$3:$C$501,"=11",'Plan prihoda za unos u SAP'!$K$3:$K$501,"=712")</f>
        <v>0</v>
      </c>
      <c r="F111" s="187">
        <f>SUMIFS('Plan prihoda za unos u SAP'!$I$3:$I$501,'Plan prihoda za unos u SAP'!$C$3:$C$501,"=12",'Plan prihoda za unos u SAP'!$K$3:$K$501,"=712")</f>
        <v>0</v>
      </c>
      <c r="G111" s="187">
        <f>SUMIFS('Plan prihoda za unos u SAP'!$I$3:$I$501,'Plan prihoda za unos u SAP'!$C$3:$C$501,"=31",'Plan prihoda za unos u SAP'!$K$3:$K$501,"=712")</f>
        <v>0</v>
      </c>
      <c r="H111" s="187">
        <f>SUMIFS('Plan prihoda za unos u SAP'!$I$3:$I$501,'Plan prihoda za unos u SAP'!$C$3:$C$501,"=41",'Plan prihoda za unos u SAP'!$K$3:$K$501,"=712")</f>
        <v>0</v>
      </c>
      <c r="I111" s="187">
        <f>SUMIFS('Plan prihoda za unos u SAP'!$I$3:$I$501,'Plan prihoda za unos u SAP'!$C$3:$C$501,"=43",'Plan prihoda za unos u SAP'!$K$3:$K$501,"=712")</f>
        <v>0</v>
      </c>
      <c r="J111" s="187">
        <f>SUMIFS('Plan prihoda za unos u SAP'!$I$3:$I$501,'Plan prihoda za unos u SAP'!$C$3:$C$501,"=51",'Plan prihoda za unos u SAP'!$K$3:$K$501,"=712")</f>
        <v>0</v>
      </c>
      <c r="K111" s="187">
        <f>SUMIFS('Plan prihoda za unos u SAP'!$I$3:$I$501,'Plan prihoda za unos u SAP'!$C$3:$C$501,"=52",'Plan prihoda za unos u SAP'!$K$3:$K$501,"=712")</f>
        <v>0</v>
      </c>
      <c r="L111" s="187">
        <f>SUMIFS('Plan prihoda za unos u SAP'!$I$3:$I$501,'Plan prihoda za unos u SAP'!$C$3:$C$501,"=552",'Plan prihoda za unos u SAP'!$K$3:$K$501,"=712")</f>
        <v>0</v>
      </c>
      <c r="M111" s="187">
        <f>SUMIFS('Plan prihoda za unos u SAP'!$I$3:$I$501,'Plan prihoda za unos u SAP'!$C$3:$C$501,"=559",'Plan prihoda za unos u SAP'!$K$3:$K$501,"=712")</f>
        <v>0</v>
      </c>
      <c r="N111" s="187">
        <f>SUMIFS('Plan prihoda za unos u SAP'!$I$3:$I$501,'Plan prihoda za unos u SAP'!$C$3:$C$501,"=561",'Plan prihoda za unos u SAP'!$K$3:$K$501,"=712")</f>
        <v>0</v>
      </c>
      <c r="O111" s="187">
        <f>SUMIFS('Plan prihoda za unos u SAP'!$I$3:$I$501,'Plan prihoda za unos u SAP'!$C$3:$C$501,"=563",'Plan prihoda za unos u SAP'!$K$3:$K$501,"=712")</f>
        <v>0</v>
      </c>
      <c r="P111" s="187">
        <f>SUMIFS('Plan prihoda za unos u SAP'!$I$3:$I$501,'Plan prihoda za unos u SAP'!$C$3:$C$501,"=573",'Plan prihoda za unos u SAP'!$K$3:$K$501,"=712")</f>
        <v>0</v>
      </c>
      <c r="Q111" s="187">
        <f>SUMIFS('Plan prihoda za unos u SAP'!$I$3:$I$501,'Plan prihoda za unos u SAP'!$C$3:$C$501,"=575",'Plan prihoda za unos u SAP'!$K$3:$K$501,"=712")</f>
        <v>0</v>
      </c>
      <c r="R111" s="187">
        <f>SUMIFS('Plan prihoda za unos u SAP'!$I$3:$I$501,'Plan prihoda za unos u SAP'!$C$3:$C$501,"=576",'Plan prihoda za unos u SAP'!$K$3:$K$501,"=712")</f>
        <v>0</v>
      </c>
      <c r="S111" s="187">
        <f>SUMIFS('Plan prihoda za unos u SAP'!$I$3:$I$501,'Plan prihoda za unos u SAP'!$C$3:$C$501,"=61",'Plan prihoda za unos u SAP'!$K$3:$K$501,"=712")</f>
        <v>0</v>
      </c>
      <c r="T111" s="187">
        <f>SUMIFS('Plan prihoda za unos u SAP'!$I$3:$I$501,'Plan prihoda za unos u SAP'!$C$3:$C$501,"=63",'Plan prihoda za unos u SAP'!$K$3:$K$501,"=712")</f>
        <v>0</v>
      </c>
      <c r="U111" s="187">
        <f>SUMIFS('Plan prihoda za unos u SAP'!$I$3:$I$501,'Plan prihoda za unos u SAP'!$C$3:$C$501,"=71",'Plan prihoda za unos u SAP'!$K$3:$K$501,"=712")</f>
        <v>0</v>
      </c>
      <c r="V111" s="187">
        <f>SUMIFS('Plan prihoda za unos u SAP'!$I$3:$I$501,'Plan prihoda za unos u SAP'!$C$3:$C$501,"=81",'Plan prihoda za unos u SAP'!$K$3:$K$501,"=712")</f>
        <v>0</v>
      </c>
      <c r="W111" s="187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2160</v>
      </c>
      <c r="C112" s="100" t="s">
        <v>2161</v>
      </c>
      <c r="D112" s="70">
        <f t="shared" si="23"/>
        <v>0</v>
      </c>
      <c r="E112" s="187">
        <f>SUMIFS('Plan prihoda za unos u SAP'!$I$3:$I$501,'Plan prihoda za unos u SAP'!$C$3:$C$501,"=11",'Plan prihoda za unos u SAP'!$K$3:$K$501,"=721")</f>
        <v>0</v>
      </c>
      <c r="F112" s="187">
        <f>SUMIFS('Plan prihoda za unos u SAP'!$I$3:$I$501,'Plan prihoda za unos u SAP'!$C$3:$C$501,"=12",'Plan prihoda za unos u SAP'!$K$3:$K$501,"=721")</f>
        <v>0</v>
      </c>
      <c r="G112" s="187">
        <f>SUMIFS('Plan prihoda za unos u SAP'!$I$3:$I$501,'Plan prihoda za unos u SAP'!$C$3:$C$501,"=31",'Plan prihoda za unos u SAP'!$K$3:$K$501,"=721")</f>
        <v>0</v>
      </c>
      <c r="H112" s="187">
        <f>SUMIFS('Plan prihoda za unos u SAP'!$I$3:$I$501,'Plan prihoda za unos u SAP'!$C$3:$C$501,"=41",'Plan prihoda za unos u SAP'!$K$3:$K$501,"=721")</f>
        <v>0</v>
      </c>
      <c r="I112" s="187">
        <f>SUMIFS('Plan prihoda za unos u SAP'!$I$3:$I$501,'Plan prihoda za unos u SAP'!$C$3:$C$501,"=43",'Plan prihoda za unos u SAP'!$K$3:$K$501,"=721")</f>
        <v>0</v>
      </c>
      <c r="J112" s="187">
        <f>SUMIFS('Plan prihoda za unos u SAP'!$I$3:$I$501,'Plan prihoda za unos u SAP'!$C$3:$C$501,"=51",'Plan prihoda za unos u SAP'!$K$3:$K$501,"=721")</f>
        <v>0</v>
      </c>
      <c r="K112" s="187">
        <f>SUMIFS('Plan prihoda za unos u SAP'!$I$3:$I$501,'Plan prihoda za unos u SAP'!$C$3:$C$501,"=52",'Plan prihoda za unos u SAP'!$K$3:$K$501,"=721")</f>
        <v>0</v>
      </c>
      <c r="L112" s="187">
        <f>SUMIFS('Plan prihoda za unos u SAP'!$I$3:$I$501,'Plan prihoda za unos u SAP'!$C$3:$C$501,"=552",'Plan prihoda za unos u SAP'!$K$3:$K$501,"=721")</f>
        <v>0</v>
      </c>
      <c r="M112" s="187">
        <f>SUMIFS('Plan prihoda za unos u SAP'!$I$3:$I$501,'Plan prihoda za unos u SAP'!$C$3:$C$501,"=559",'Plan prihoda za unos u SAP'!$K$3:$K$501,"=721")</f>
        <v>0</v>
      </c>
      <c r="N112" s="187">
        <f>SUMIFS('Plan prihoda za unos u SAP'!$I$3:$I$501,'Plan prihoda za unos u SAP'!$C$3:$C$501,"=561",'Plan prihoda za unos u SAP'!$K$3:$K$501,"=721")</f>
        <v>0</v>
      </c>
      <c r="O112" s="187">
        <f>SUMIFS('Plan prihoda za unos u SAP'!$I$3:$I$501,'Plan prihoda za unos u SAP'!$C$3:$C$501,"=563",'Plan prihoda za unos u SAP'!$K$3:$K$501,"=721")</f>
        <v>0</v>
      </c>
      <c r="P112" s="187">
        <f>SUMIFS('Plan prihoda za unos u SAP'!$I$3:$I$501,'Plan prihoda za unos u SAP'!$C$3:$C$501,"=573",'Plan prihoda za unos u SAP'!$K$3:$K$501,"=721")</f>
        <v>0</v>
      </c>
      <c r="Q112" s="187">
        <f>SUMIFS('Plan prihoda za unos u SAP'!$I$3:$I$501,'Plan prihoda za unos u SAP'!$C$3:$C$501,"=575",'Plan prihoda za unos u SAP'!$K$3:$K$501,"=721")</f>
        <v>0</v>
      </c>
      <c r="R112" s="187">
        <f>SUMIFS('Plan prihoda za unos u SAP'!$I$3:$I$501,'Plan prihoda za unos u SAP'!$C$3:$C$501,"=576",'Plan prihoda za unos u SAP'!$K$3:$K$501,"=721")</f>
        <v>0</v>
      </c>
      <c r="S112" s="187">
        <f>SUMIFS('Plan prihoda za unos u SAP'!$I$3:$I$501,'Plan prihoda za unos u SAP'!$C$3:$C$501,"=61",'Plan prihoda za unos u SAP'!$K$3:$K$501,"=721")</f>
        <v>0</v>
      </c>
      <c r="T112" s="187">
        <f>SUMIFS('Plan prihoda za unos u SAP'!$I$3:$I$501,'Plan prihoda za unos u SAP'!$C$3:$C$501,"=63",'Plan prihoda za unos u SAP'!$K$3:$K$501,"=721")</f>
        <v>0</v>
      </c>
      <c r="U112" s="187">
        <f>SUMIFS('Plan prihoda za unos u SAP'!$I$3:$I$501,'Plan prihoda za unos u SAP'!$C$3:$C$501,"=71",'Plan prihoda za unos u SAP'!$K$3:$K$501,"=721")</f>
        <v>0</v>
      </c>
      <c r="V112" s="187">
        <f>SUMIFS('Plan prihoda za unos u SAP'!$I$3:$I$501,'Plan prihoda za unos u SAP'!$C$3:$C$501,"=81",'Plan prihoda za unos u SAP'!$K$3:$K$501,"=721")</f>
        <v>0</v>
      </c>
      <c r="W112" s="187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2162</v>
      </c>
      <c r="C113" s="100" t="s">
        <v>2163</v>
      </c>
      <c r="D113" s="70">
        <f t="shared" si="23"/>
        <v>0</v>
      </c>
      <c r="E113" s="187">
        <f>SUMIFS('Plan prihoda za unos u SAP'!$I$3:$I$501,'Plan prihoda za unos u SAP'!$C$3:$C$501,"=11",'Plan prihoda za unos u SAP'!$K$3:$K$501,"=722")</f>
        <v>0</v>
      </c>
      <c r="F113" s="187">
        <f>SUMIFS('Plan prihoda za unos u SAP'!$I$3:$I$501,'Plan prihoda za unos u SAP'!$C$3:$C$501,"=12",'Plan prihoda za unos u SAP'!$K$3:$K$501,"=722")</f>
        <v>0</v>
      </c>
      <c r="G113" s="187">
        <f>SUMIFS('Plan prihoda za unos u SAP'!$I$3:$I$501,'Plan prihoda za unos u SAP'!$C$3:$C$501,"=31",'Plan prihoda za unos u SAP'!$K$3:$K$501,"=722")</f>
        <v>0</v>
      </c>
      <c r="H113" s="187">
        <f>SUMIFS('Plan prihoda za unos u SAP'!$I$3:$I$501,'Plan prihoda za unos u SAP'!$C$3:$C$501,"=41",'Plan prihoda za unos u SAP'!$K$3:$K$501,"=722")</f>
        <v>0</v>
      </c>
      <c r="I113" s="187">
        <f>SUMIFS('Plan prihoda za unos u SAP'!$I$3:$I$501,'Plan prihoda za unos u SAP'!$C$3:$C$501,"=43",'Plan prihoda za unos u SAP'!$K$3:$K$501,"=722")</f>
        <v>0</v>
      </c>
      <c r="J113" s="187">
        <f>SUMIFS('Plan prihoda za unos u SAP'!$I$3:$I$501,'Plan prihoda za unos u SAP'!$C$3:$C$501,"=51",'Plan prihoda za unos u SAP'!$K$3:$K$501,"=722")</f>
        <v>0</v>
      </c>
      <c r="K113" s="187">
        <f>SUMIFS('Plan prihoda za unos u SAP'!$I$3:$I$501,'Plan prihoda za unos u SAP'!$C$3:$C$501,"=52",'Plan prihoda za unos u SAP'!$K$3:$K$501,"=722")</f>
        <v>0</v>
      </c>
      <c r="L113" s="187">
        <f>SUMIFS('Plan prihoda za unos u SAP'!$I$3:$I$501,'Plan prihoda za unos u SAP'!$C$3:$C$501,"=552",'Plan prihoda za unos u SAP'!$K$3:$K$501,"=722")</f>
        <v>0</v>
      </c>
      <c r="M113" s="187">
        <f>SUMIFS('Plan prihoda za unos u SAP'!$I$3:$I$501,'Plan prihoda za unos u SAP'!$C$3:$C$501,"=559",'Plan prihoda za unos u SAP'!$K$3:$K$501,"=722")</f>
        <v>0</v>
      </c>
      <c r="N113" s="187">
        <f>SUMIFS('Plan prihoda za unos u SAP'!$I$3:$I$501,'Plan prihoda za unos u SAP'!$C$3:$C$501,"=561",'Plan prihoda za unos u SAP'!$K$3:$K$501,"=722")</f>
        <v>0</v>
      </c>
      <c r="O113" s="187">
        <f>SUMIFS('Plan prihoda za unos u SAP'!$I$3:$I$501,'Plan prihoda za unos u SAP'!$C$3:$C$501,"=563",'Plan prihoda za unos u SAP'!$K$3:$K$501,"=722")</f>
        <v>0</v>
      </c>
      <c r="P113" s="187">
        <f>SUMIFS('Plan prihoda za unos u SAP'!$I$3:$I$501,'Plan prihoda za unos u SAP'!$C$3:$C$501,"=573",'Plan prihoda za unos u SAP'!$K$3:$K$501,"=722")</f>
        <v>0</v>
      </c>
      <c r="Q113" s="187">
        <f>SUMIFS('Plan prihoda za unos u SAP'!$I$3:$I$501,'Plan prihoda za unos u SAP'!$C$3:$C$501,"=575",'Plan prihoda za unos u SAP'!$K$3:$K$501,"=722")</f>
        <v>0</v>
      </c>
      <c r="R113" s="187">
        <f>SUMIFS('Plan prihoda za unos u SAP'!$I$3:$I$501,'Plan prihoda za unos u SAP'!$C$3:$C$501,"=576",'Plan prihoda za unos u SAP'!$K$3:$K$501,"=722")</f>
        <v>0</v>
      </c>
      <c r="S113" s="187">
        <f>SUMIFS('Plan prihoda za unos u SAP'!$I$3:$I$501,'Plan prihoda za unos u SAP'!$C$3:$C$501,"=61",'Plan prihoda za unos u SAP'!$K$3:$K$501,"=722")</f>
        <v>0</v>
      </c>
      <c r="T113" s="187">
        <f>SUMIFS('Plan prihoda za unos u SAP'!$I$3:$I$501,'Plan prihoda za unos u SAP'!$C$3:$C$501,"=63",'Plan prihoda za unos u SAP'!$K$3:$K$501,"=722")</f>
        <v>0</v>
      </c>
      <c r="U113" s="187">
        <f>SUMIFS('Plan prihoda za unos u SAP'!$I$3:$I$501,'Plan prihoda za unos u SAP'!$C$3:$C$501,"=71",'Plan prihoda za unos u SAP'!$K$3:$K$501,"=722")</f>
        <v>0</v>
      </c>
      <c r="V113" s="187">
        <f>SUMIFS('Plan prihoda za unos u SAP'!$I$3:$I$501,'Plan prihoda za unos u SAP'!$C$3:$C$501,"=81",'Plan prihoda za unos u SAP'!$K$3:$K$501,"=722")</f>
        <v>0</v>
      </c>
      <c r="W113" s="187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2164</v>
      </c>
      <c r="C114" s="100" t="s">
        <v>2165</v>
      </c>
      <c r="D114" s="70">
        <f t="shared" si="23"/>
        <v>0</v>
      </c>
      <c r="E114" s="187">
        <f>SUMIFS('Plan prihoda za unos u SAP'!$I$3:$I$501,'Plan prihoda za unos u SAP'!$C$3:$C$501,"=11",'Plan prihoda za unos u SAP'!$K$3:$K$501,"=723")</f>
        <v>0</v>
      </c>
      <c r="F114" s="187">
        <f>SUMIFS('Plan prihoda za unos u SAP'!$I$3:$I$501,'Plan prihoda za unos u SAP'!$C$3:$C$501,"=12",'Plan prihoda za unos u SAP'!$K$3:$K$501,"=723")</f>
        <v>0</v>
      </c>
      <c r="G114" s="187">
        <f>SUMIFS('Plan prihoda za unos u SAP'!$I$3:$I$501,'Plan prihoda za unos u SAP'!$C$3:$C$501,"=31",'Plan prihoda za unos u SAP'!$K$3:$K$501,"=723")</f>
        <v>0</v>
      </c>
      <c r="H114" s="187">
        <f>SUMIFS('Plan prihoda za unos u SAP'!$I$3:$I$501,'Plan prihoda za unos u SAP'!$C$3:$C$501,"=41",'Plan prihoda za unos u SAP'!$K$3:$K$501,"=723")</f>
        <v>0</v>
      </c>
      <c r="I114" s="187">
        <f>SUMIFS('Plan prihoda za unos u SAP'!$I$3:$I$501,'Plan prihoda za unos u SAP'!$C$3:$C$501,"=43",'Plan prihoda za unos u SAP'!$K$3:$K$501,"=723")</f>
        <v>0</v>
      </c>
      <c r="J114" s="187">
        <f>SUMIFS('Plan prihoda za unos u SAP'!$I$3:$I$501,'Plan prihoda za unos u SAP'!$C$3:$C$501,"=51",'Plan prihoda za unos u SAP'!$K$3:$K$501,"=723")</f>
        <v>0</v>
      </c>
      <c r="K114" s="187">
        <f>SUMIFS('Plan prihoda za unos u SAP'!$I$3:$I$501,'Plan prihoda za unos u SAP'!$C$3:$C$501,"=52",'Plan prihoda za unos u SAP'!$K$3:$K$501,"=723")</f>
        <v>0</v>
      </c>
      <c r="L114" s="187">
        <f>SUMIFS('Plan prihoda za unos u SAP'!$I$3:$I$501,'Plan prihoda za unos u SAP'!$C$3:$C$501,"=552",'Plan prihoda za unos u SAP'!$K$3:$K$501,"=723")</f>
        <v>0</v>
      </c>
      <c r="M114" s="187">
        <f>SUMIFS('Plan prihoda za unos u SAP'!$I$3:$I$501,'Plan prihoda za unos u SAP'!$C$3:$C$501,"=559",'Plan prihoda za unos u SAP'!$K$3:$K$501,"=723")</f>
        <v>0</v>
      </c>
      <c r="N114" s="187">
        <f>SUMIFS('Plan prihoda za unos u SAP'!$I$3:$I$501,'Plan prihoda za unos u SAP'!$C$3:$C$501,"=561",'Plan prihoda za unos u SAP'!$K$3:$K$501,"=723")</f>
        <v>0</v>
      </c>
      <c r="O114" s="187">
        <f>SUMIFS('Plan prihoda za unos u SAP'!$I$3:$I$501,'Plan prihoda za unos u SAP'!$C$3:$C$501,"=563",'Plan prihoda za unos u SAP'!$K$3:$K$501,"=723")</f>
        <v>0</v>
      </c>
      <c r="P114" s="187">
        <f>SUMIFS('Plan prihoda za unos u SAP'!$I$3:$I$501,'Plan prihoda za unos u SAP'!$C$3:$C$501,"=573",'Plan prihoda za unos u SAP'!$K$3:$K$501,"=723")</f>
        <v>0</v>
      </c>
      <c r="Q114" s="187">
        <f>SUMIFS('Plan prihoda za unos u SAP'!$I$3:$I$501,'Plan prihoda za unos u SAP'!$C$3:$C$501,"=575",'Plan prihoda za unos u SAP'!$K$3:$K$501,"=723")</f>
        <v>0</v>
      </c>
      <c r="R114" s="187">
        <f>SUMIFS('Plan prihoda za unos u SAP'!$I$3:$I$501,'Plan prihoda za unos u SAP'!$C$3:$C$501,"=576",'Plan prihoda za unos u SAP'!$K$3:$K$501,"=723")</f>
        <v>0</v>
      </c>
      <c r="S114" s="187">
        <f>SUMIFS('Plan prihoda za unos u SAP'!$I$3:$I$501,'Plan prihoda za unos u SAP'!$C$3:$C$501,"=61",'Plan prihoda za unos u SAP'!$K$3:$K$501,"=723")</f>
        <v>0</v>
      </c>
      <c r="T114" s="187">
        <f>SUMIFS('Plan prihoda za unos u SAP'!$I$3:$I$501,'Plan prihoda za unos u SAP'!$C$3:$C$501,"=63",'Plan prihoda za unos u SAP'!$K$3:$K$501,"=723")</f>
        <v>0</v>
      </c>
      <c r="U114" s="187">
        <f>SUMIFS('Plan prihoda za unos u SAP'!$I$3:$I$501,'Plan prihoda za unos u SAP'!$C$3:$C$501,"=71",'Plan prihoda za unos u SAP'!$K$3:$K$501,"=723")</f>
        <v>0</v>
      </c>
      <c r="V114" s="187">
        <f>SUMIFS('Plan prihoda za unos u SAP'!$I$3:$I$501,'Plan prihoda za unos u SAP'!$C$3:$C$501,"=81",'Plan prihoda za unos u SAP'!$K$3:$K$501,"=723")</f>
        <v>0</v>
      </c>
      <c r="W114" s="187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2166</v>
      </c>
      <c r="C115" s="100" t="s">
        <v>2167</v>
      </c>
      <c r="D115" s="70">
        <f t="shared" si="23"/>
        <v>0</v>
      </c>
      <c r="E115" s="187">
        <f>SUMIFS('Plan prihoda za unos u SAP'!$I$3:$I$501,'Plan prihoda za unos u SAP'!$C$3:$C$501,"=11",'Plan prihoda za unos u SAP'!$K$3:$K$501,"=725")</f>
        <v>0</v>
      </c>
      <c r="F115" s="187">
        <f>SUMIFS('Plan prihoda za unos u SAP'!$I$3:$I$501,'Plan prihoda za unos u SAP'!$C$3:$C$501,"=12",'Plan prihoda za unos u SAP'!$K$3:$K$501,"=725")</f>
        <v>0</v>
      </c>
      <c r="G115" s="187">
        <f>SUMIFS('Plan prihoda za unos u SAP'!$I$3:$I$501,'Plan prihoda za unos u SAP'!$C$3:$C$501,"=31",'Plan prihoda za unos u SAP'!$K$3:$K$501,"=725")</f>
        <v>0</v>
      </c>
      <c r="H115" s="187">
        <f>SUMIFS('Plan prihoda za unos u SAP'!$I$3:$I$501,'Plan prihoda za unos u SAP'!$C$3:$C$501,"=41",'Plan prihoda za unos u SAP'!$K$3:$K$501,"=725")</f>
        <v>0</v>
      </c>
      <c r="I115" s="187">
        <f>SUMIFS('Plan prihoda za unos u SAP'!$I$3:$I$501,'Plan prihoda za unos u SAP'!$C$3:$C$501,"=43",'Plan prihoda za unos u SAP'!$K$3:$K$501,"=725")</f>
        <v>0</v>
      </c>
      <c r="J115" s="187">
        <f>SUMIFS('Plan prihoda za unos u SAP'!$I$3:$I$501,'Plan prihoda za unos u SAP'!$C$3:$C$501,"=51",'Plan prihoda za unos u SAP'!$K$3:$K$501,"=725")</f>
        <v>0</v>
      </c>
      <c r="K115" s="187">
        <f>SUMIFS('Plan prihoda za unos u SAP'!$I$3:$I$501,'Plan prihoda za unos u SAP'!$C$3:$C$501,"=52",'Plan prihoda za unos u SAP'!$K$3:$K$501,"=725")</f>
        <v>0</v>
      </c>
      <c r="L115" s="187">
        <f>SUMIFS('Plan prihoda za unos u SAP'!$I$3:$I$501,'Plan prihoda za unos u SAP'!$C$3:$C$501,"=552",'Plan prihoda za unos u SAP'!$K$3:$K$501,"=725")</f>
        <v>0</v>
      </c>
      <c r="M115" s="187">
        <f>SUMIFS('Plan prihoda za unos u SAP'!$I$3:$I$501,'Plan prihoda za unos u SAP'!$C$3:$C$501,"=559",'Plan prihoda za unos u SAP'!$K$3:$K$501,"=725")</f>
        <v>0</v>
      </c>
      <c r="N115" s="187">
        <f>SUMIFS('Plan prihoda za unos u SAP'!$I$3:$I$501,'Plan prihoda za unos u SAP'!$C$3:$C$501,"=561",'Plan prihoda za unos u SAP'!$K$3:$K$501,"=725")</f>
        <v>0</v>
      </c>
      <c r="O115" s="187">
        <f>SUMIFS('Plan prihoda za unos u SAP'!$I$3:$I$501,'Plan prihoda za unos u SAP'!$C$3:$C$501,"=563",'Plan prihoda za unos u SAP'!$K$3:$K$501,"=725")</f>
        <v>0</v>
      </c>
      <c r="P115" s="187">
        <f>SUMIFS('Plan prihoda za unos u SAP'!$I$3:$I$501,'Plan prihoda za unos u SAP'!$C$3:$C$501,"=573",'Plan prihoda za unos u SAP'!$K$3:$K$501,"=725")</f>
        <v>0</v>
      </c>
      <c r="Q115" s="187">
        <f>SUMIFS('Plan prihoda za unos u SAP'!$I$3:$I$501,'Plan prihoda za unos u SAP'!$C$3:$C$501,"=575",'Plan prihoda za unos u SAP'!$K$3:$K$501,"=725")</f>
        <v>0</v>
      </c>
      <c r="R115" s="187">
        <f>SUMIFS('Plan prihoda za unos u SAP'!$I$3:$I$501,'Plan prihoda za unos u SAP'!$C$3:$C$501,"=576",'Plan prihoda za unos u SAP'!$K$3:$K$501,"=725")</f>
        <v>0</v>
      </c>
      <c r="S115" s="187">
        <f>SUMIFS('Plan prihoda za unos u SAP'!$I$3:$I$501,'Plan prihoda za unos u SAP'!$C$3:$C$501,"=61",'Plan prihoda za unos u SAP'!$K$3:$K$501,"=725")</f>
        <v>0</v>
      </c>
      <c r="T115" s="187">
        <f>SUMIFS('Plan prihoda za unos u SAP'!$I$3:$I$501,'Plan prihoda za unos u SAP'!$C$3:$C$501,"=63",'Plan prihoda za unos u SAP'!$K$3:$K$501,"=725")</f>
        <v>0</v>
      </c>
      <c r="U115" s="187">
        <f>SUMIFS('Plan prihoda za unos u SAP'!$I$3:$I$501,'Plan prihoda za unos u SAP'!$C$3:$C$501,"=71",'Plan prihoda za unos u SAP'!$K$3:$K$501,"=725")</f>
        <v>0</v>
      </c>
      <c r="V115" s="187">
        <f>SUMIFS('Plan prihoda za unos u SAP'!$I$3:$I$501,'Plan prihoda za unos u SAP'!$C$3:$C$501,"=81",'Plan prihoda za unos u SAP'!$K$3:$K$501,"=725")</f>
        <v>0</v>
      </c>
      <c r="W115" s="187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2168</v>
      </c>
      <c r="C116" s="99" t="s">
        <v>2155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2169</v>
      </c>
      <c r="D117" s="70">
        <f t="shared" si="23"/>
        <v>0</v>
      </c>
      <c r="E117" s="187">
        <f>SUMIFS('Plan prihoda za unos u SAP'!$I$3:$I$501,'Plan prihoda za unos u SAP'!$C$3:$C$501,"=11",'Plan prihoda za unos u SAP'!$K$3:$K$501,"=812")</f>
        <v>0</v>
      </c>
      <c r="F117" s="187">
        <f>SUMIFS('Plan prihoda za unos u SAP'!$I$3:$I$501,'Plan prihoda za unos u SAP'!$C$3:$C$501,"=12",'Plan prihoda za unos u SAP'!$K$3:$K$501,"=812")</f>
        <v>0</v>
      </c>
      <c r="G117" s="187">
        <f>SUMIFS('Plan prihoda za unos u SAP'!$I$3:$I$501,'Plan prihoda za unos u SAP'!$C$3:$C$501,"=31",'Plan prihoda za unos u SAP'!$K$3:$K$501,"=812")</f>
        <v>0</v>
      </c>
      <c r="H117" s="187">
        <f>SUMIFS('Plan prihoda za unos u SAP'!$I$3:$I$501,'Plan prihoda za unos u SAP'!$C$3:$C$501,"=41",'Plan prihoda za unos u SAP'!$K$3:$K$501,"=812")</f>
        <v>0</v>
      </c>
      <c r="I117" s="187">
        <f>SUMIFS('Plan prihoda za unos u SAP'!$I$3:$I$501,'Plan prihoda za unos u SAP'!$C$3:$C$501,"=43",'Plan prihoda za unos u SAP'!$K$3:$K$501,"=812")</f>
        <v>0</v>
      </c>
      <c r="J117" s="187">
        <f>SUMIFS('Plan prihoda za unos u SAP'!$I$3:$I$501,'Plan prihoda za unos u SAP'!$C$3:$C$501,"=51",'Plan prihoda za unos u SAP'!$K$3:$K$501,"=812")</f>
        <v>0</v>
      </c>
      <c r="K117" s="187">
        <f>SUMIFS('Plan prihoda za unos u SAP'!$I$3:$I$501,'Plan prihoda za unos u SAP'!$C$3:$C$501,"=52",'Plan prihoda za unos u SAP'!$K$3:$K$501,"=812")</f>
        <v>0</v>
      </c>
      <c r="L117" s="187">
        <f>SUMIFS('Plan prihoda za unos u SAP'!$I$3:$I$501,'Plan prihoda za unos u SAP'!$C$3:$C$501,"=552",'Plan prihoda za unos u SAP'!$K$3:$K$501,"=812")</f>
        <v>0</v>
      </c>
      <c r="M117" s="187">
        <f>SUMIFS('Plan prihoda za unos u SAP'!$I$3:$I$501,'Plan prihoda za unos u SAP'!$C$3:$C$501,"=559",'Plan prihoda za unos u SAP'!$K$3:$K$501,"=812")</f>
        <v>0</v>
      </c>
      <c r="N117" s="187">
        <f>SUMIFS('Plan prihoda za unos u SAP'!$I$3:$I$501,'Plan prihoda za unos u SAP'!$C$3:$C$501,"=561",'Plan prihoda za unos u SAP'!$K$3:$K$501,"=812")</f>
        <v>0</v>
      </c>
      <c r="O117" s="187">
        <f>SUMIFS('Plan prihoda za unos u SAP'!$I$3:$I$501,'Plan prihoda za unos u SAP'!$C$3:$C$501,"=563",'Plan prihoda za unos u SAP'!$K$3:$K$501,"=812")</f>
        <v>0</v>
      </c>
      <c r="P117" s="187">
        <f>SUMIFS('Plan prihoda za unos u SAP'!$I$3:$I$501,'Plan prihoda za unos u SAP'!$C$3:$C$501,"=573",'Plan prihoda za unos u SAP'!$K$3:$K$501,"=812")</f>
        <v>0</v>
      </c>
      <c r="Q117" s="187">
        <f>SUMIFS('Plan prihoda za unos u SAP'!$I$3:$I$501,'Plan prihoda za unos u SAP'!$C$3:$C$501,"=575",'Plan prihoda za unos u SAP'!$K$3:$K$501,"=812")</f>
        <v>0</v>
      </c>
      <c r="R117" s="187">
        <f>SUMIFS('Plan prihoda za unos u SAP'!$I$3:$I$501,'Plan prihoda za unos u SAP'!$C$3:$C$501,"=576",'Plan prihoda za unos u SAP'!$K$3:$K$501,"=812")</f>
        <v>0</v>
      </c>
      <c r="S117" s="187">
        <f>SUMIFS('Plan prihoda za unos u SAP'!$I$3:$I$501,'Plan prihoda za unos u SAP'!$C$3:$C$501,"=61",'Plan prihoda za unos u SAP'!$K$3:$K$501,"=812")</f>
        <v>0</v>
      </c>
      <c r="T117" s="187">
        <f>SUMIFS('Plan prihoda za unos u SAP'!$I$3:$I$501,'Plan prihoda za unos u SAP'!$C$3:$C$501,"=63",'Plan prihoda za unos u SAP'!$K$3:$K$501,"=812")</f>
        <v>0</v>
      </c>
      <c r="U117" s="187">
        <f>SUMIFS('Plan prihoda za unos u SAP'!$I$3:$I$501,'Plan prihoda za unos u SAP'!$C$3:$C$501,"=71",'Plan prihoda za unos u SAP'!$K$3:$K$501,"=812")</f>
        <v>0</v>
      </c>
      <c r="V117" s="187">
        <f>SUMIFS('Plan prihoda za unos u SAP'!$I$3:$I$501,'Plan prihoda za unos u SAP'!$C$3:$C$501,"=81",'Plan prihoda za unos u SAP'!$K$3:$K$501,"=812")</f>
        <v>0</v>
      </c>
      <c r="W117" s="187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2170</v>
      </c>
      <c r="D118" s="70">
        <f t="shared" si="23"/>
        <v>0</v>
      </c>
      <c r="E118" s="187">
        <f>SUMIFS('Plan prihoda za unos u SAP'!$I$3:$I$501,'Plan prihoda za unos u SAP'!$C$3:$C$501,"=11",'Plan prihoda za unos u SAP'!$K$3:$K$501,"=818")</f>
        <v>0</v>
      </c>
      <c r="F118" s="187">
        <f>SUMIFS('Plan prihoda za unos u SAP'!$I$3:$I$501,'Plan prihoda za unos u SAP'!$C$3:$C$501,"=12",'Plan prihoda za unos u SAP'!$K$3:$K$501,"=818")</f>
        <v>0</v>
      </c>
      <c r="G118" s="187">
        <f>SUMIFS('Plan prihoda za unos u SAP'!$I$3:$I$501,'Plan prihoda za unos u SAP'!$C$3:$C$501,"=31",'Plan prihoda za unos u SAP'!$K$3:$K$501,"=818")</f>
        <v>0</v>
      </c>
      <c r="H118" s="187">
        <f>SUMIFS('Plan prihoda za unos u SAP'!$I$3:$I$501,'Plan prihoda za unos u SAP'!$C$3:$C$501,"=41",'Plan prihoda za unos u SAP'!$K$3:$K$501,"=818")</f>
        <v>0</v>
      </c>
      <c r="I118" s="187">
        <f>SUMIFS('Plan prihoda za unos u SAP'!$I$3:$I$501,'Plan prihoda za unos u SAP'!$C$3:$C$501,"=43",'Plan prihoda za unos u SAP'!$K$3:$K$501,"=818")</f>
        <v>0</v>
      </c>
      <c r="J118" s="187">
        <f>SUMIFS('Plan prihoda za unos u SAP'!$I$3:$I$501,'Plan prihoda za unos u SAP'!$C$3:$C$501,"=51",'Plan prihoda za unos u SAP'!$K$3:$K$501,"=818")</f>
        <v>0</v>
      </c>
      <c r="K118" s="187">
        <f>SUMIFS('Plan prihoda za unos u SAP'!$I$3:$I$501,'Plan prihoda za unos u SAP'!$C$3:$C$501,"=52",'Plan prihoda za unos u SAP'!$K$3:$K$501,"=818")</f>
        <v>0</v>
      </c>
      <c r="L118" s="187">
        <f>SUMIFS('Plan prihoda za unos u SAP'!$I$3:$I$501,'Plan prihoda za unos u SAP'!$C$3:$C$501,"=552",'Plan prihoda za unos u SAP'!$K$3:$K$501,"=818")</f>
        <v>0</v>
      </c>
      <c r="M118" s="187">
        <f>SUMIFS('Plan prihoda za unos u SAP'!$I$3:$I$501,'Plan prihoda za unos u SAP'!$C$3:$C$501,"=559",'Plan prihoda za unos u SAP'!$K$3:$K$501,"=818")</f>
        <v>0</v>
      </c>
      <c r="N118" s="187">
        <f>SUMIFS('Plan prihoda za unos u SAP'!$I$3:$I$501,'Plan prihoda za unos u SAP'!$C$3:$C$501,"=561",'Plan prihoda za unos u SAP'!$K$3:$K$501,"=818")</f>
        <v>0</v>
      </c>
      <c r="O118" s="187">
        <f>SUMIFS('Plan prihoda za unos u SAP'!$I$3:$I$501,'Plan prihoda za unos u SAP'!$C$3:$C$501,"=563",'Plan prihoda za unos u SAP'!$K$3:$K$501,"=818")</f>
        <v>0</v>
      </c>
      <c r="P118" s="187">
        <f>SUMIFS('Plan prihoda za unos u SAP'!$I$3:$I$501,'Plan prihoda za unos u SAP'!$C$3:$C$501,"=573",'Plan prihoda za unos u SAP'!$K$3:$K$501,"=818")</f>
        <v>0</v>
      </c>
      <c r="Q118" s="187">
        <f>SUMIFS('Plan prihoda za unos u SAP'!$I$3:$I$501,'Plan prihoda za unos u SAP'!$C$3:$C$501,"=575",'Plan prihoda za unos u SAP'!$K$3:$K$501,"=818")</f>
        <v>0</v>
      </c>
      <c r="R118" s="187">
        <f>SUMIFS('Plan prihoda za unos u SAP'!$I$3:$I$501,'Plan prihoda za unos u SAP'!$C$3:$C$501,"=576",'Plan prihoda za unos u SAP'!$K$3:$K$501,"=818")</f>
        <v>0</v>
      </c>
      <c r="S118" s="187">
        <f>SUMIFS('Plan prihoda za unos u SAP'!$I$3:$I$501,'Plan prihoda za unos u SAP'!$C$3:$C$501,"=61",'Plan prihoda za unos u SAP'!$K$3:$K$501,"=818")</f>
        <v>0</v>
      </c>
      <c r="T118" s="187">
        <f>SUMIFS('Plan prihoda za unos u SAP'!$I$3:$I$501,'Plan prihoda za unos u SAP'!$C$3:$C$501,"=63",'Plan prihoda za unos u SAP'!$K$3:$K$501,"=818")</f>
        <v>0</v>
      </c>
      <c r="U118" s="187">
        <f>SUMIFS('Plan prihoda za unos u SAP'!$I$3:$I$501,'Plan prihoda za unos u SAP'!$C$3:$C$501,"=71",'Plan prihoda za unos u SAP'!$K$3:$K$501,"=818")</f>
        <v>0</v>
      </c>
      <c r="V118" s="187">
        <f>SUMIFS('Plan prihoda za unos u SAP'!$I$3:$I$501,'Plan prihoda za unos u SAP'!$C$3:$C$501,"=81",'Plan prihoda za unos u SAP'!$K$3:$K$501,"=818")</f>
        <v>0</v>
      </c>
      <c r="W118" s="187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2171</v>
      </c>
      <c r="D119" s="70">
        <f t="shared" si="23"/>
        <v>0</v>
      </c>
      <c r="E119" s="187">
        <f>SUMIFS('Plan prihoda za unos u SAP'!$I$3:$I$501,'Plan prihoda za unos u SAP'!$C$3:$C$501,"=11",'Plan prihoda za unos u SAP'!$K$3:$K$501,"=832")</f>
        <v>0</v>
      </c>
      <c r="F119" s="187">
        <f>SUMIFS('Plan prihoda za unos u SAP'!$I$3:$I$501,'Plan prihoda za unos u SAP'!$C$3:$C$501,"=12",'Plan prihoda za unos u SAP'!$K$3:$K$501,"=832")</f>
        <v>0</v>
      </c>
      <c r="G119" s="187">
        <f>SUMIFS('Plan prihoda za unos u SAP'!$I$3:$I$501,'Plan prihoda za unos u SAP'!$C$3:$C$501,"=31",'Plan prihoda za unos u SAP'!$K$3:$K$501,"=832")</f>
        <v>0</v>
      </c>
      <c r="H119" s="187">
        <f>SUMIFS('Plan prihoda za unos u SAP'!$I$3:$I$501,'Plan prihoda za unos u SAP'!$C$3:$C$501,"=41",'Plan prihoda za unos u SAP'!$K$3:$K$501,"=832")</f>
        <v>0</v>
      </c>
      <c r="I119" s="187">
        <f>SUMIFS('Plan prihoda za unos u SAP'!$I$3:$I$501,'Plan prihoda za unos u SAP'!$C$3:$C$501,"=43",'Plan prihoda za unos u SAP'!$K$3:$K$501,"=832")</f>
        <v>0</v>
      </c>
      <c r="J119" s="187">
        <f>SUMIFS('Plan prihoda za unos u SAP'!$I$3:$I$501,'Plan prihoda za unos u SAP'!$C$3:$C$501,"=51",'Plan prihoda za unos u SAP'!$K$3:$K$501,"=832")</f>
        <v>0</v>
      </c>
      <c r="K119" s="187">
        <f>SUMIFS('Plan prihoda za unos u SAP'!$I$3:$I$501,'Plan prihoda za unos u SAP'!$C$3:$C$501,"=52",'Plan prihoda za unos u SAP'!$K$3:$K$501,"=832")</f>
        <v>0</v>
      </c>
      <c r="L119" s="187">
        <f>SUMIFS('Plan prihoda za unos u SAP'!$I$3:$I$501,'Plan prihoda za unos u SAP'!$C$3:$C$501,"=552",'Plan prihoda za unos u SAP'!$K$3:$K$501,"=832")</f>
        <v>0</v>
      </c>
      <c r="M119" s="187">
        <f>SUMIFS('Plan prihoda za unos u SAP'!$I$3:$I$501,'Plan prihoda za unos u SAP'!$C$3:$C$501,"=559",'Plan prihoda za unos u SAP'!$K$3:$K$501,"=832")</f>
        <v>0</v>
      </c>
      <c r="N119" s="187">
        <f>SUMIFS('Plan prihoda za unos u SAP'!$I$3:$I$501,'Plan prihoda za unos u SAP'!$C$3:$C$501,"=561",'Plan prihoda za unos u SAP'!$K$3:$K$501,"=832")</f>
        <v>0</v>
      </c>
      <c r="O119" s="187">
        <f>SUMIFS('Plan prihoda za unos u SAP'!$I$3:$I$501,'Plan prihoda za unos u SAP'!$C$3:$C$501,"=563",'Plan prihoda za unos u SAP'!$K$3:$K$501,"=832")</f>
        <v>0</v>
      </c>
      <c r="P119" s="187">
        <f>SUMIFS('Plan prihoda za unos u SAP'!$I$3:$I$501,'Plan prihoda za unos u SAP'!$C$3:$C$501,"=573",'Plan prihoda za unos u SAP'!$K$3:$K$501,"=832")</f>
        <v>0</v>
      </c>
      <c r="Q119" s="187">
        <f>SUMIFS('Plan prihoda za unos u SAP'!$I$3:$I$501,'Plan prihoda za unos u SAP'!$C$3:$C$501,"=575",'Plan prihoda za unos u SAP'!$K$3:$K$501,"=832")</f>
        <v>0</v>
      </c>
      <c r="R119" s="187">
        <f>SUMIFS('Plan prihoda za unos u SAP'!$I$3:$I$501,'Plan prihoda za unos u SAP'!$C$3:$C$501,"=576",'Plan prihoda za unos u SAP'!$K$3:$K$501,"=832")</f>
        <v>0</v>
      </c>
      <c r="S119" s="187">
        <f>SUMIFS('Plan prihoda za unos u SAP'!$I$3:$I$501,'Plan prihoda za unos u SAP'!$C$3:$C$501,"=61",'Plan prihoda za unos u SAP'!$K$3:$K$501,"=832")</f>
        <v>0</v>
      </c>
      <c r="T119" s="187">
        <f>SUMIFS('Plan prihoda za unos u SAP'!$I$3:$I$501,'Plan prihoda za unos u SAP'!$C$3:$C$501,"=63",'Plan prihoda za unos u SAP'!$K$3:$K$501,"=832")</f>
        <v>0</v>
      </c>
      <c r="U119" s="187">
        <f>SUMIFS('Plan prihoda za unos u SAP'!$I$3:$I$501,'Plan prihoda za unos u SAP'!$C$3:$C$501,"=71",'Plan prihoda za unos u SAP'!$K$3:$K$501,"=832")</f>
        <v>0</v>
      </c>
      <c r="V119" s="187">
        <f>SUMIFS('Plan prihoda za unos u SAP'!$I$3:$I$501,'Plan prihoda za unos u SAP'!$C$3:$C$501,"=81",'Plan prihoda za unos u SAP'!$K$3:$K$501,"=832")</f>
        <v>0</v>
      </c>
      <c r="W119" s="187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3">
        <v>833</v>
      </c>
      <c r="C120" s="102" t="s">
        <v>2172</v>
      </c>
      <c r="D120" s="70">
        <f t="shared" ref="D120" si="30">SUM(E120:W120)</f>
        <v>0</v>
      </c>
      <c r="E120" s="187">
        <f>SUMIFS('Plan prihoda za unos u SAP'!$I$3:$I$501,'Plan prihoda za unos u SAP'!$C$3:$C$501,"=11",'Plan prihoda za unos u SAP'!$K$3:$K$501,"=833")</f>
        <v>0</v>
      </c>
      <c r="F120" s="187">
        <f>SUMIFS('Plan prihoda za unos u SAP'!$I$3:$I$501,'Plan prihoda za unos u SAP'!$C$3:$C$501,"=12",'Plan prihoda za unos u SAP'!$K$3:$K$501,"=833")</f>
        <v>0</v>
      </c>
      <c r="G120" s="187">
        <f>SUMIFS('Plan prihoda za unos u SAP'!$I$3:$I$501,'Plan prihoda za unos u SAP'!$C$3:$C$501,"=31",'Plan prihoda za unos u SAP'!$K$3:$K$501,"=833")</f>
        <v>0</v>
      </c>
      <c r="H120" s="187">
        <f>SUMIFS('Plan prihoda za unos u SAP'!$I$3:$I$501,'Plan prihoda za unos u SAP'!$C$3:$C$501,"=41",'Plan prihoda za unos u SAP'!$K$3:$K$501,"=833")</f>
        <v>0</v>
      </c>
      <c r="I120" s="187">
        <f>SUMIFS('Plan prihoda za unos u SAP'!$I$3:$I$501,'Plan prihoda za unos u SAP'!$C$3:$C$501,"=43",'Plan prihoda za unos u SAP'!$K$3:$K$501,"=833")</f>
        <v>0</v>
      </c>
      <c r="J120" s="187">
        <f>SUMIFS('Plan prihoda za unos u SAP'!$I$3:$I$501,'Plan prihoda za unos u SAP'!$C$3:$C$501,"=51",'Plan prihoda za unos u SAP'!$K$3:$K$501,"=833")</f>
        <v>0</v>
      </c>
      <c r="K120" s="187">
        <f>SUMIFS('Plan prihoda za unos u SAP'!$I$3:$I$501,'Plan prihoda za unos u SAP'!$C$3:$C$501,"=52",'Plan prihoda za unos u SAP'!$K$3:$K$501,"=833")</f>
        <v>0</v>
      </c>
      <c r="L120" s="187">
        <f>SUMIFS('Plan prihoda za unos u SAP'!$I$3:$I$501,'Plan prihoda za unos u SAP'!$C$3:$C$501,"=552",'Plan prihoda za unos u SAP'!$K$3:$K$501,"=833")</f>
        <v>0</v>
      </c>
      <c r="M120" s="187">
        <f>SUMIFS('Plan prihoda za unos u SAP'!$I$3:$I$501,'Plan prihoda za unos u SAP'!$C$3:$C$501,"=559",'Plan prihoda za unos u SAP'!$K$3:$K$501,"=833")</f>
        <v>0</v>
      </c>
      <c r="N120" s="187">
        <f>SUMIFS('Plan prihoda za unos u SAP'!$I$3:$I$501,'Plan prihoda za unos u SAP'!$C$3:$C$501,"=561",'Plan prihoda za unos u SAP'!$K$3:$K$501,"=833")</f>
        <v>0</v>
      </c>
      <c r="O120" s="187">
        <f>SUMIFS('Plan prihoda za unos u SAP'!$I$3:$I$501,'Plan prihoda za unos u SAP'!$C$3:$C$501,"=563",'Plan prihoda za unos u SAP'!$K$3:$K$501,"=833")</f>
        <v>0</v>
      </c>
      <c r="P120" s="187">
        <f>SUMIFS('Plan prihoda za unos u SAP'!$I$3:$I$501,'Plan prihoda za unos u SAP'!$C$3:$C$501,"=573",'Plan prihoda za unos u SAP'!$K$3:$K$501,"=833")</f>
        <v>0</v>
      </c>
      <c r="Q120" s="187">
        <f>SUMIFS('Plan prihoda za unos u SAP'!$I$3:$I$501,'Plan prihoda za unos u SAP'!$C$3:$C$501,"=575",'Plan prihoda za unos u SAP'!$K$3:$K$501,"=833")</f>
        <v>0</v>
      </c>
      <c r="R120" s="187">
        <f>SUMIFS('Plan prihoda za unos u SAP'!$I$3:$I$501,'Plan prihoda za unos u SAP'!$C$3:$C$501,"=576",'Plan prihoda za unos u SAP'!$K$3:$K$501,"=833")</f>
        <v>0</v>
      </c>
      <c r="S120" s="187">
        <f>SUMIFS('Plan prihoda za unos u SAP'!$I$3:$I$501,'Plan prihoda za unos u SAP'!$C$3:$C$501,"=61",'Plan prihoda za unos u SAP'!$K$3:$K$501,"=833")</f>
        <v>0</v>
      </c>
      <c r="T120" s="187">
        <f>SUMIFS('Plan prihoda za unos u SAP'!$I$3:$I$501,'Plan prihoda za unos u SAP'!$C$3:$C$501,"=63",'Plan prihoda za unos u SAP'!$K$3:$K$501,"=833")</f>
        <v>0</v>
      </c>
      <c r="U120" s="187">
        <f>SUMIFS('Plan prihoda za unos u SAP'!$I$3:$I$501,'Plan prihoda za unos u SAP'!$C$3:$C$501,"=71",'Plan prihoda za unos u SAP'!$K$3:$K$501,"=833")</f>
        <v>0</v>
      </c>
      <c r="V120" s="187">
        <f>SUMIFS('Plan prihoda za unos u SAP'!$I$3:$I$501,'Plan prihoda za unos u SAP'!$C$3:$C$501,"=81",'Plan prihoda za unos u SAP'!$K$3:$K$501,"=833")</f>
        <v>0</v>
      </c>
      <c r="W120" s="187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2173</v>
      </c>
      <c r="D121" s="70">
        <f t="shared" si="23"/>
        <v>0</v>
      </c>
      <c r="E121" s="187">
        <f>SUMIFS('Plan prihoda za unos u SAP'!$I$3:$I$501,'Plan prihoda za unos u SAP'!$C$3:$C$501,"=11",'Plan prihoda za unos u SAP'!$K$3:$K$501,"=841")</f>
        <v>0</v>
      </c>
      <c r="F121" s="187">
        <f>SUMIFS('Plan prihoda za unos u SAP'!$I$3:$I$501,'Plan prihoda za unos u SAP'!$C$3:$C$501,"=12",'Plan prihoda za unos u SAP'!$K$3:$K$501,"=841")</f>
        <v>0</v>
      </c>
      <c r="G121" s="187">
        <f>SUMIFS('Plan prihoda za unos u SAP'!$I$3:$I$501,'Plan prihoda za unos u SAP'!$C$3:$C$501,"=31",'Plan prihoda za unos u SAP'!$K$3:$K$501,"=841")</f>
        <v>0</v>
      </c>
      <c r="H121" s="187">
        <f>SUMIFS('Plan prihoda za unos u SAP'!$I$3:$I$501,'Plan prihoda za unos u SAP'!$C$3:$C$501,"=41",'Plan prihoda za unos u SAP'!$K$3:$K$501,"=841")</f>
        <v>0</v>
      </c>
      <c r="I121" s="187">
        <f>SUMIFS('Plan prihoda za unos u SAP'!$I$3:$I$501,'Plan prihoda za unos u SAP'!$C$3:$C$501,"=43",'Plan prihoda za unos u SAP'!$K$3:$K$501,"=841")</f>
        <v>0</v>
      </c>
      <c r="J121" s="187">
        <f>SUMIFS('Plan prihoda za unos u SAP'!$I$3:$I$501,'Plan prihoda za unos u SAP'!$C$3:$C$501,"=51",'Plan prihoda za unos u SAP'!$K$3:$K$501,"=841")</f>
        <v>0</v>
      </c>
      <c r="K121" s="187">
        <f>SUMIFS('Plan prihoda za unos u SAP'!$I$3:$I$501,'Plan prihoda za unos u SAP'!$C$3:$C$501,"=52",'Plan prihoda za unos u SAP'!$K$3:$K$501,"=841")</f>
        <v>0</v>
      </c>
      <c r="L121" s="187">
        <f>SUMIFS('Plan prihoda za unos u SAP'!$I$3:$I$501,'Plan prihoda za unos u SAP'!$C$3:$C$501,"=552",'Plan prihoda za unos u SAP'!$K$3:$K$501,"=841")</f>
        <v>0</v>
      </c>
      <c r="M121" s="187">
        <f>SUMIFS('Plan prihoda za unos u SAP'!$I$3:$I$501,'Plan prihoda za unos u SAP'!$C$3:$C$501,"=559",'Plan prihoda za unos u SAP'!$K$3:$K$501,"=841")</f>
        <v>0</v>
      </c>
      <c r="N121" s="187">
        <f>SUMIFS('Plan prihoda za unos u SAP'!$I$3:$I$501,'Plan prihoda za unos u SAP'!$C$3:$C$501,"=561",'Plan prihoda za unos u SAP'!$K$3:$K$501,"=841")</f>
        <v>0</v>
      </c>
      <c r="O121" s="187">
        <f>SUMIFS('Plan prihoda za unos u SAP'!$I$3:$I$501,'Plan prihoda za unos u SAP'!$C$3:$C$501,"=563",'Plan prihoda za unos u SAP'!$K$3:$K$501,"=841")</f>
        <v>0</v>
      </c>
      <c r="P121" s="187">
        <f>SUMIFS('Plan prihoda za unos u SAP'!$I$3:$I$501,'Plan prihoda za unos u SAP'!$C$3:$C$501,"=573",'Plan prihoda za unos u SAP'!$K$3:$K$501,"=841")</f>
        <v>0</v>
      </c>
      <c r="Q121" s="187">
        <f>SUMIFS('Plan prihoda za unos u SAP'!$I$3:$I$501,'Plan prihoda za unos u SAP'!$C$3:$C$501,"=575",'Plan prihoda za unos u SAP'!$K$3:$K$501,"=841")</f>
        <v>0</v>
      </c>
      <c r="R121" s="187">
        <f>SUMIFS('Plan prihoda za unos u SAP'!$I$3:$I$501,'Plan prihoda za unos u SAP'!$C$3:$C$501,"=576",'Plan prihoda za unos u SAP'!$K$3:$K$501,"=841")</f>
        <v>0</v>
      </c>
      <c r="S121" s="187">
        <f>SUMIFS('Plan prihoda za unos u SAP'!$I$3:$I$501,'Plan prihoda za unos u SAP'!$C$3:$C$501,"=61",'Plan prihoda za unos u SAP'!$K$3:$K$501,"=841")</f>
        <v>0</v>
      </c>
      <c r="T121" s="187">
        <f>SUMIFS('Plan prihoda za unos u SAP'!$I$3:$I$501,'Plan prihoda za unos u SAP'!$C$3:$C$501,"=63",'Plan prihoda za unos u SAP'!$K$3:$K$501,"=841")</f>
        <v>0</v>
      </c>
      <c r="U121" s="187">
        <f>SUMIFS('Plan prihoda za unos u SAP'!$I$3:$I$501,'Plan prihoda za unos u SAP'!$C$3:$C$501,"=71",'Plan prihoda za unos u SAP'!$K$3:$K$501,"=841")</f>
        <v>0</v>
      </c>
      <c r="V121" s="187">
        <f>SUMIFS('Plan prihoda za unos u SAP'!$I$3:$I$501,'Plan prihoda za unos u SAP'!$C$3:$C$501,"=81",'Plan prihoda za unos u SAP'!$K$3:$K$501,"=841")</f>
        <v>0</v>
      </c>
      <c r="W121" s="187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2174</v>
      </c>
      <c r="D122" s="70">
        <f>SUM(E122:W122)</f>
        <v>0</v>
      </c>
      <c r="E122" s="187">
        <f>SUMIFS('Plan prihoda za unos u SAP'!$I$3:$I$501,'Plan prihoda za unos u SAP'!$C$3:$C$501,"=11",'Plan prihoda za unos u SAP'!$K$3:$K$501,"=841")</f>
        <v>0</v>
      </c>
      <c r="F122" s="187">
        <f>SUMIFS('Plan prihoda za unos u SAP'!$I$3:$I$501,'Plan prihoda za unos u SAP'!$C$3:$C$501,"=12",'Plan prihoda za unos u SAP'!$K$3:$K$501,"=841")</f>
        <v>0</v>
      </c>
      <c r="G122" s="187">
        <f>SUMIFS('Plan prihoda za unos u SAP'!$I$3:$I$501,'Plan prihoda za unos u SAP'!$C$3:$C$501,"=31",'Plan prihoda za unos u SAP'!$K$3:$K$501,"=841")</f>
        <v>0</v>
      </c>
      <c r="H122" s="187">
        <f>SUMIFS('Plan prihoda za unos u SAP'!$I$3:$I$501,'Plan prihoda za unos u SAP'!$C$3:$C$501,"=41",'Plan prihoda za unos u SAP'!$K$3:$K$501,"=841")</f>
        <v>0</v>
      </c>
      <c r="I122" s="187">
        <f>SUMIFS('Plan prihoda za unos u SAP'!$I$3:$I$501,'Plan prihoda za unos u SAP'!$C$3:$C$501,"=43",'Plan prihoda za unos u SAP'!$K$3:$K$501,"=841")</f>
        <v>0</v>
      </c>
      <c r="J122" s="187">
        <f>SUMIFS('Plan prihoda za unos u SAP'!$I$3:$I$501,'Plan prihoda za unos u SAP'!$C$3:$C$501,"=51",'Plan prihoda za unos u SAP'!$K$3:$K$501,"=841")</f>
        <v>0</v>
      </c>
      <c r="K122" s="187">
        <f>SUMIFS('Plan prihoda za unos u SAP'!$I$3:$I$501,'Plan prihoda za unos u SAP'!$C$3:$C$501,"=52",'Plan prihoda za unos u SAP'!$K$3:$K$501,"=841")</f>
        <v>0</v>
      </c>
      <c r="L122" s="187">
        <f>SUMIFS('Plan prihoda za unos u SAP'!$I$3:$I$501,'Plan prihoda za unos u SAP'!$C$3:$C$501,"=552",'Plan prihoda za unos u SAP'!$K$3:$K$501,"=841")</f>
        <v>0</v>
      </c>
      <c r="M122" s="187">
        <f>SUMIFS('Plan prihoda za unos u SAP'!$I$3:$I$501,'Plan prihoda za unos u SAP'!$C$3:$C$501,"=559",'Plan prihoda za unos u SAP'!$K$3:$K$501,"=841")</f>
        <v>0</v>
      </c>
      <c r="N122" s="187">
        <f>SUMIFS('Plan prihoda za unos u SAP'!$I$3:$I$501,'Plan prihoda za unos u SAP'!$C$3:$C$501,"=561",'Plan prihoda za unos u SAP'!$K$3:$K$501,"=841")</f>
        <v>0</v>
      </c>
      <c r="O122" s="187">
        <f>SUMIFS('Plan prihoda za unos u SAP'!$I$3:$I$501,'Plan prihoda za unos u SAP'!$C$3:$C$501,"=563",'Plan prihoda za unos u SAP'!$K$3:$K$501,"=841")</f>
        <v>0</v>
      </c>
      <c r="P122" s="187">
        <f>SUMIFS('Plan prihoda za unos u SAP'!$I$3:$I$501,'Plan prihoda za unos u SAP'!$C$3:$C$501,"=573",'Plan prihoda za unos u SAP'!$K$3:$K$501,"=841")</f>
        <v>0</v>
      </c>
      <c r="Q122" s="187">
        <f>SUMIFS('Plan prihoda za unos u SAP'!$I$3:$I$501,'Plan prihoda za unos u SAP'!$C$3:$C$501,"=575",'Plan prihoda za unos u SAP'!$K$3:$K$501,"=841")</f>
        <v>0</v>
      </c>
      <c r="R122" s="187">
        <f>SUMIFS('Plan prihoda za unos u SAP'!$I$3:$I$501,'Plan prihoda za unos u SAP'!$C$3:$C$501,"=576",'Plan prihoda za unos u SAP'!$K$3:$K$501,"=841")</f>
        <v>0</v>
      </c>
      <c r="S122" s="187">
        <f>SUMIFS('Plan prihoda za unos u SAP'!$I$3:$I$501,'Plan prihoda za unos u SAP'!$C$3:$C$501,"=61",'Plan prihoda za unos u SAP'!$K$3:$K$501,"=841")</f>
        <v>0</v>
      </c>
      <c r="T122" s="187">
        <f>SUMIFS('Plan prihoda za unos u SAP'!$I$3:$I$501,'Plan prihoda za unos u SAP'!$C$3:$C$501,"=63",'Plan prihoda za unos u SAP'!$K$3:$K$501,"=841")</f>
        <v>0</v>
      </c>
      <c r="U122" s="187">
        <f>SUMIFS('Plan prihoda za unos u SAP'!$I$3:$I$501,'Plan prihoda za unos u SAP'!$C$3:$C$501,"=71",'Plan prihoda za unos u SAP'!$K$3:$K$501,"=841")</f>
        <v>0</v>
      </c>
      <c r="V122" s="187">
        <f>SUMIFS('Plan prihoda za unos u SAP'!$I$3:$I$501,'Plan prihoda za unos u SAP'!$C$3:$C$501,"=81",'Plan prihoda za unos u SAP'!$K$3:$K$501,"=841")</f>
        <v>0</v>
      </c>
      <c r="W122" s="187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2175</v>
      </c>
      <c r="C123" s="99" t="s">
        <v>2155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8" t="s">
        <v>2176</v>
      </c>
      <c r="C124" s="298"/>
      <c r="D124" s="71">
        <f>SUM(E124:W124)</f>
        <v>22424680</v>
      </c>
      <c r="E124" s="71">
        <f>+E123+E116+E109</f>
        <v>17298710</v>
      </c>
      <c r="F124" s="71">
        <f t="shared" ref="F124:W124" si="32">+F123+F116+F109</f>
        <v>0</v>
      </c>
      <c r="G124" s="71">
        <f t="shared" si="32"/>
        <v>1940000</v>
      </c>
      <c r="H124" s="71">
        <f>+H123+H116+H109</f>
        <v>0</v>
      </c>
      <c r="I124" s="71">
        <f t="shared" si="32"/>
        <v>2909400</v>
      </c>
      <c r="J124" s="71">
        <f t="shared" si="32"/>
        <v>17500</v>
      </c>
      <c r="K124" s="71">
        <f t="shared" si="32"/>
        <v>259070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6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9" t="s">
        <v>2179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78"/>
    </row>
    <row r="2" spans="1:263" s="74" customFormat="1" ht="63.75">
      <c r="A2" s="93" t="s">
        <v>2095</v>
      </c>
      <c r="B2" s="93" t="s">
        <v>2180</v>
      </c>
      <c r="C2" s="93" t="s">
        <v>2181</v>
      </c>
      <c r="D2" s="2" t="s">
        <v>2182</v>
      </c>
      <c r="E2" s="2" t="s">
        <v>2183</v>
      </c>
      <c r="F2" s="2" t="s">
        <v>2100</v>
      </c>
      <c r="G2" s="93" t="s">
        <v>2101</v>
      </c>
      <c r="H2" s="93" t="s">
        <v>2102</v>
      </c>
      <c r="I2" s="93" t="s">
        <v>2103</v>
      </c>
      <c r="J2" s="93" t="s">
        <v>2104</v>
      </c>
      <c r="K2" s="93" t="s">
        <v>2105</v>
      </c>
      <c r="L2" s="93" t="s">
        <v>2106</v>
      </c>
      <c r="M2" s="93" t="s">
        <v>2107</v>
      </c>
      <c r="N2" s="93" t="s">
        <v>2108</v>
      </c>
      <c r="O2" s="93" t="s">
        <v>2109</v>
      </c>
      <c r="P2" s="93" t="s">
        <v>2110</v>
      </c>
      <c r="Q2" s="93" t="s">
        <v>2111</v>
      </c>
      <c r="R2" s="93" t="s">
        <v>2112</v>
      </c>
      <c r="S2" s="93" t="s">
        <v>2113</v>
      </c>
      <c r="T2" s="93" t="s">
        <v>2114</v>
      </c>
      <c r="U2" s="93" t="s">
        <v>2184</v>
      </c>
      <c r="V2" s="93" t="s">
        <v>2116</v>
      </c>
      <c r="W2" s="93" t="s">
        <v>2117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2185</v>
      </c>
      <c r="D3" s="120">
        <f>SUM(E3:W3)</f>
        <v>23509794</v>
      </c>
      <c r="E3" s="121">
        <f t="shared" ref="E3:W3" si="0">E4+E38+E58</f>
        <v>16743890</v>
      </c>
      <c r="F3" s="121">
        <f t="shared" si="0"/>
        <v>0</v>
      </c>
      <c r="G3" s="121">
        <f t="shared" si="0"/>
        <v>2025000</v>
      </c>
      <c r="H3" s="121">
        <f>H4+H38+H58</f>
        <v>0</v>
      </c>
      <c r="I3" s="121">
        <f t="shared" si="0"/>
        <v>3636400</v>
      </c>
      <c r="J3" s="121">
        <f t="shared" si="0"/>
        <v>691400</v>
      </c>
      <c r="K3" s="121">
        <f t="shared" si="0"/>
        <v>275604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137500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2186</v>
      </c>
      <c r="D4" s="124">
        <f t="shared" ref="D4:D67" si="1">SUM(E4:W4)</f>
        <v>22778744</v>
      </c>
      <c r="E4" s="125">
        <f>E5+E9+E15+E19+E23+E30+E33</f>
        <v>16598890</v>
      </c>
      <c r="F4" s="125">
        <f t="shared" ref="F4:W4" si="2">F5+F9+F15+F19+F23+F30+F33</f>
        <v>0</v>
      </c>
      <c r="G4" s="125">
        <f t="shared" si="2"/>
        <v>1920000</v>
      </c>
      <c r="H4" s="125">
        <f>H5+H9+H15+H19+H23+H30+H33</f>
        <v>0</v>
      </c>
      <c r="I4" s="125">
        <f t="shared" si="2"/>
        <v>3247350</v>
      </c>
      <c r="J4" s="125">
        <f t="shared" si="2"/>
        <v>629400</v>
      </c>
      <c r="K4" s="125">
        <f t="shared" si="2"/>
        <v>245604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137500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2187</v>
      </c>
      <c r="D5" s="78">
        <f t="shared" si="1"/>
        <v>17260012</v>
      </c>
      <c r="E5" s="12">
        <f>SUM(E6:E8)</f>
        <v>14684450</v>
      </c>
      <c r="F5" s="12">
        <f t="shared" ref="F5:W5" si="3">SUM(F6:F8)</f>
        <v>0</v>
      </c>
      <c r="G5" s="12">
        <f t="shared" si="3"/>
        <v>489400</v>
      </c>
      <c r="H5" s="12">
        <f>SUM(H6:H8)</f>
        <v>0</v>
      </c>
      <c r="I5" s="12">
        <f t="shared" si="3"/>
        <v>1471420</v>
      </c>
      <c r="J5" s="12">
        <f t="shared" si="3"/>
        <v>365400</v>
      </c>
      <c r="K5" s="12">
        <f t="shared" si="3"/>
        <v>114442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134900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2188</v>
      </c>
      <c r="D6" s="77">
        <f t="shared" si="1"/>
        <v>14413397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12338200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360000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1192664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311100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98233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113200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731</v>
      </c>
      <c r="D7" s="14">
        <f t="shared" si="1"/>
        <v>513130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310430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70000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82000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47700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3000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2189</v>
      </c>
      <c r="D8" s="14">
        <f t="shared" si="1"/>
        <v>2333485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2035820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59400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196756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6600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16209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18700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2190</v>
      </c>
      <c r="D9" s="4">
        <f t="shared" si="1"/>
        <v>5460232</v>
      </c>
      <c r="E9" s="78">
        <f t="shared" ref="E9:W9" si="4">SUM(E10:E14)</f>
        <v>1899440</v>
      </c>
      <c r="F9" s="78">
        <f t="shared" si="4"/>
        <v>0</v>
      </c>
      <c r="G9" s="78">
        <f>SUM(G10:G14)</f>
        <v>1412600</v>
      </c>
      <c r="H9" s="78">
        <f>SUM(H10:H14)</f>
        <v>0</v>
      </c>
      <c r="I9" s="78">
        <f t="shared" si="4"/>
        <v>1750430</v>
      </c>
      <c r="J9" s="78">
        <f t="shared" si="4"/>
        <v>264000</v>
      </c>
      <c r="K9" s="78">
        <f t="shared" si="4"/>
        <v>131162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2600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2191</v>
      </c>
      <c r="D10" s="14">
        <f t="shared" si="1"/>
        <v>1154412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410430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374000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154850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170000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42532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2600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2192</v>
      </c>
      <c r="D11" s="14">
        <f t="shared" si="1"/>
        <v>1566580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828000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197000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491580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50000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2193</v>
      </c>
      <c r="D12" s="14">
        <f t="shared" si="1"/>
        <v>2273510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598910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753100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872500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49000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797</v>
      </c>
      <c r="D13" s="14">
        <f t="shared" si="1"/>
        <v>14000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8000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5000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821</v>
      </c>
      <c r="D14" s="14">
        <f t="shared" si="1"/>
        <v>451730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54100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87500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226500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44000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39630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2194</v>
      </c>
      <c r="D15" s="4">
        <f t="shared" si="1"/>
        <v>28500</v>
      </c>
      <c r="E15" s="4">
        <f t="shared" ref="E15:W15" si="5">SUM(E16:E18)</f>
        <v>15000</v>
      </c>
      <c r="F15" s="4">
        <f t="shared" si="5"/>
        <v>0</v>
      </c>
      <c r="G15" s="4">
        <f t="shared" si="5"/>
        <v>3000</v>
      </c>
      <c r="H15" s="4">
        <f>SUM(H16:H18)</f>
        <v>0</v>
      </c>
      <c r="I15" s="4">
        <f t="shared" si="5"/>
        <v>10500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2195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2196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2197</v>
      </c>
      <c r="D18" s="14">
        <f t="shared" si="1"/>
        <v>28500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15000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10500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2198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850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2199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2200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2201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2202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2203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2204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2205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2134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2136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2206</v>
      </c>
      <c r="D30" s="4">
        <f t="shared" si="1"/>
        <v>30000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15000</v>
      </c>
      <c r="H30" s="4">
        <f>SUM(H31:H32)</f>
        <v>0</v>
      </c>
      <c r="I30" s="4">
        <f t="shared" si="8"/>
        <v>15000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2207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2208</v>
      </c>
      <c r="D32" s="14">
        <f t="shared" si="1"/>
        <v>30000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15000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15000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2209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2210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2211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2212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2213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2214</v>
      </c>
      <c r="D38" s="126">
        <f t="shared" si="1"/>
        <v>731050</v>
      </c>
      <c r="E38" s="126">
        <f>E42+E49+E51+E53+E39</f>
        <v>145000</v>
      </c>
      <c r="F38" s="126">
        <f t="shared" ref="F38:W38" si="10">F42+F49+F51+F53+F39</f>
        <v>0</v>
      </c>
      <c r="G38" s="126">
        <f t="shared" si="10"/>
        <v>105000</v>
      </c>
      <c r="H38" s="126">
        <f>H42+H49+H51+H53+H39</f>
        <v>0</v>
      </c>
      <c r="I38" s="126">
        <f t="shared" si="10"/>
        <v>389050</v>
      </c>
      <c r="J38" s="126">
        <f t="shared" si="10"/>
        <v>62000</v>
      </c>
      <c r="K38" s="126">
        <f t="shared" si="10"/>
        <v>30000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2215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2216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2217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2218</v>
      </c>
      <c r="D42" s="4">
        <f t="shared" si="1"/>
        <v>731050</v>
      </c>
      <c r="E42" s="4">
        <f t="shared" ref="E42:W42" si="12">SUM(E43:E48)</f>
        <v>145000</v>
      </c>
      <c r="F42" s="4">
        <f t="shared" si="12"/>
        <v>0</v>
      </c>
      <c r="G42" s="4">
        <f t="shared" si="12"/>
        <v>105000</v>
      </c>
      <c r="H42" s="4">
        <f>SUM(H43:H48)</f>
        <v>0</v>
      </c>
      <c r="I42" s="4">
        <f t="shared" si="12"/>
        <v>389050</v>
      </c>
      <c r="J42" s="4">
        <f t="shared" si="12"/>
        <v>62000</v>
      </c>
      <c r="K42" s="4">
        <f t="shared" si="12"/>
        <v>30000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2219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2220</v>
      </c>
      <c r="D44" s="14">
        <f t="shared" si="1"/>
        <v>619050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120000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80000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337050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62000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20000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2221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2222</v>
      </c>
      <c r="D46" s="14">
        <f t="shared" si="1"/>
        <v>52000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5000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5000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32000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10000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2223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2224</v>
      </c>
      <c r="D48" s="14">
        <f t="shared" si="1"/>
        <v>60000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20000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20000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20000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2225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2226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2226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2227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2228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1039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1042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1045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1048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123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2229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2230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2231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2232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2233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2234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1075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2235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2236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2237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2095</v>
      </c>
      <c r="B70" s="93" t="s">
        <v>2180</v>
      </c>
      <c r="C70" s="93" t="s">
        <v>2181</v>
      </c>
      <c r="D70" s="2" t="s">
        <v>2238</v>
      </c>
      <c r="E70" s="2" t="s">
        <v>2183</v>
      </c>
      <c r="F70" s="2" t="s">
        <v>2100</v>
      </c>
      <c r="G70" s="93" t="s">
        <v>2101</v>
      </c>
      <c r="H70" s="93" t="s">
        <v>2102</v>
      </c>
      <c r="I70" s="93" t="s">
        <v>2103</v>
      </c>
      <c r="J70" s="93" t="s">
        <v>2104</v>
      </c>
      <c r="K70" s="93" t="s">
        <v>2105</v>
      </c>
      <c r="L70" s="93" t="s">
        <v>2106</v>
      </c>
      <c r="M70" s="93" t="s">
        <v>2107</v>
      </c>
      <c r="N70" s="93" t="s">
        <v>2108</v>
      </c>
      <c r="O70" s="93" t="s">
        <v>2109</v>
      </c>
      <c r="P70" s="93" t="s">
        <v>2110</v>
      </c>
      <c r="Q70" s="93" t="s">
        <v>2111</v>
      </c>
      <c r="R70" s="93" t="s">
        <v>2112</v>
      </c>
      <c r="S70" s="93" t="s">
        <v>2113</v>
      </c>
      <c r="T70" s="93" t="s">
        <v>2114</v>
      </c>
      <c r="U70" s="93" t="s">
        <v>2184</v>
      </c>
      <c r="V70" s="93" t="s">
        <v>2116</v>
      </c>
      <c r="W70" s="93" t="s">
        <v>2117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2185</v>
      </c>
      <c r="D71" s="120">
        <f>SUM(E71:W71)</f>
        <v>23995900</v>
      </c>
      <c r="E71" s="121">
        <f t="shared" ref="E71:V71" si="20">+E72+E80+E86</f>
        <v>17221670</v>
      </c>
      <c r="F71" s="121">
        <f t="shared" si="20"/>
        <v>0</v>
      </c>
      <c r="G71" s="121">
        <f t="shared" si="20"/>
        <v>2150000</v>
      </c>
      <c r="H71" s="121">
        <f>+H72+H80+H86</f>
        <v>0</v>
      </c>
      <c r="I71" s="121">
        <f t="shared" si="20"/>
        <v>3760800</v>
      </c>
      <c r="J71" s="121">
        <f t="shared" si="20"/>
        <v>575000</v>
      </c>
      <c r="K71" s="121">
        <f t="shared" si="20"/>
        <v>265930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22500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2186</v>
      </c>
      <c r="D72" s="124">
        <f t="shared" ref="D72:D88" si="21">SUM(E72:W72)</f>
        <v>23267950</v>
      </c>
      <c r="E72" s="130">
        <f t="shared" ref="E72:V72" si="22">SUM(E73:E79)</f>
        <v>17076670</v>
      </c>
      <c r="F72" s="130">
        <f t="shared" si="22"/>
        <v>0</v>
      </c>
      <c r="G72" s="130">
        <f t="shared" si="22"/>
        <v>2044050</v>
      </c>
      <c r="H72" s="130">
        <f>SUM(H73:H79)</f>
        <v>0</v>
      </c>
      <c r="I72" s="130">
        <f t="shared" si="22"/>
        <v>3375800</v>
      </c>
      <c r="J72" s="130">
        <f t="shared" si="22"/>
        <v>513000</v>
      </c>
      <c r="K72" s="130">
        <f t="shared" si="22"/>
        <v>235930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22500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2187</v>
      </c>
      <c r="D73" s="132">
        <f t="shared" si="21"/>
        <v>17605077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15153660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518525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1477450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319000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114442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22000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2190</v>
      </c>
      <c r="D74" s="133">
        <f t="shared" si="21"/>
        <v>5619373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1908010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1507525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1887850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194000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121488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500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2194</v>
      </c>
      <c r="D75" s="133">
        <f t="shared" si="21"/>
        <v>28500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15000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10500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2198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2201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2206</v>
      </c>
      <c r="D78" s="133">
        <f t="shared" si="21"/>
        <v>15000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15000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2209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2214</v>
      </c>
      <c r="D80" s="126">
        <f t="shared" si="21"/>
        <v>727950</v>
      </c>
      <c r="E80" s="131">
        <f t="shared" ref="E80:V80" si="23">SUM(E81:E85)</f>
        <v>145000</v>
      </c>
      <c r="F80" s="131">
        <f t="shared" si="23"/>
        <v>0</v>
      </c>
      <c r="G80" s="131">
        <f t="shared" si="23"/>
        <v>105950</v>
      </c>
      <c r="H80" s="131">
        <f>SUM(H81:H85)</f>
        <v>0</v>
      </c>
      <c r="I80" s="131">
        <f t="shared" si="23"/>
        <v>385000</v>
      </c>
      <c r="J80" s="131">
        <f t="shared" si="23"/>
        <v>62000</v>
      </c>
      <c r="K80" s="131">
        <f t="shared" si="23"/>
        <v>30000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2215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2218</v>
      </c>
      <c r="D82" s="133">
        <f t="shared" si="21"/>
        <v>727950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145000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105950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385000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62000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30000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2225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2226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2228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123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2229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2233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2095</v>
      </c>
      <c r="B90" s="93" t="s">
        <v>2180</v>
      </c>
      <c r="C90" s="93" t="s">
        <v>2181</v>
      </c>
      <c r="D90" s="2" t="s">
        <v>2239</v>
      </c>
      <c r="E90" s="2" t="s">
        <v>2183</v>
      </c>
      <c r="F90" s="2" t="s">
        <v>2100</v>
      </c>
      <c r="G90" s="93" t="s">
        <v>2101</v>
      </c>
      <c r="H90" s="93" t="s">
        <v>2102</v>
      </c>
      <c r="I90" s="93" t="s">
        <v>2103</v>
      </c>
      <c r="J90" s="93" t="s">
        <v>2104</v>
      </c>
      <c r="K90" s="93" t="s">
        <v>2105</v>
      </c>
      <c r="L90" s="93" t="s">
        <v>2106</v>
      </c>
      <c r="M90" s="93" t="s">
        <v>2107</v>
      </c>
      <c r="N90" s="93" t="s">
        <v>2108</v>
      </c>
      <c r="O90" s="93" t="s">
        <v>2109</v>
      </c>
      <c r="P90" s="93" t="s">
        <v>2110</v>
      </c>
      <c r="Q90" s="93" t="s">
        <v>2111</v>
      </c>
      <c r="R90" s="93" t="s">
        <v>2112</v>
      </c>
      <c r="S90" s="93" t="s">
        <v>2113</v>
      </c>
      <c r="T90" s="93" t="s">
        <v>2114</v>
      </c>
      <c r="U90" s="93" t="s">
        <v>2184</v>
      </c>
      <c r="V90" s="93" t="s">
        <v>2116</v>
      </c>
      <c r="W90" s="93" t="s">
        <v>2117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2240</v>
      </c>
      <c r="D91" s="120">
        <f>SUM(E91:W91)</f>
        <v>23048180</v>
      </c>
      <c r="E91" s="121">
        <f t="shared" ref="E91:W91" si="25">E92+E100+E106</f>
        <v>17298710</v>
      </c>
      <c r="F91" s="121">
        <f t="shared" si="25"/>
        <v>0</v>
      </c>
      <c r="G91" s="121">
        <f t="shared" si="25"/>
        <v>2240000</v>
      </c>
      <c r="H91" s="121">
        <f>H92+H100+H106</f>
        <v>0</v>
      </c>
      <c r="I91" s="121">
        <f t="shared" si="25"/>
        <v>2936300</v>
      </c>
      <c r="J91" s="121">
        <f t="shared" si="25"/>
        <v>314100</v>
      </c>
      <c r="K91" s="121">
        <f t="shared" si="25"/>
        <v>259070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2186</v>
      </c>
      <c r="D92" s="124">
        <f t="shared" ref="D92:D108" si="26">SUM(E92:W92)</f>
        <v>22399537</v>
      </c>
      <c r="E92" s="130">
        <f t="shared" ref="E92:G92" si="27">SUM(E93:E99)</f>
        <v>17153710</v>
      </c>
      <c r="F92" s="130">
        <f t="shared" si="27"/>
        <v>0</v>
      </c>
      <c r="G92" s="130">
        <f t="shared" si="27"/>
        <v>2110000</v>
      </c>
      <c r="H92" s="130">
        <f>SUM(H93:H99)</f>
        <v>0</v>
      </c>
      <c r="I92" s="130">
        <f t="shared" ref="I92:K92" si="28">SUM(I93:I99)</f>
        <v>2636257</v>
      </c>
      <c r="J92" s="130">
        <f t="shared" si="28"/>
        <v>270500</v>
      </c>
      <c r="K92" s="130">
        <f t="shared" si="28"/>
        <v>229070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2187</v>
      </c>
      <c r="D93" s="132">
        <f t="shared" si="26"/>
        <v>16976937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15229320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536000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1016675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80500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114442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2190</v>
      </c>
      <c r="D94" s="133">
        <f t="shared" si="26"/>
        <v>5379100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1909390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1556000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1609082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190000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114628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2194</v>
      </c>
      <c r="D95" s="133">
        <f t="shared" si="26"/>
        <v>28500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15000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10500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2198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2201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2206</v>
      </c>
      <c r="D98" s="133">
        <f t="shared" si="26"/>
        <v>15000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15000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2209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2214</v>
      </c>
      <c r="D100" s="126">
        <f t="shared" si="26"/>
        <v>648643</v>
      </c>
      <c r="E100" s="131">
        <f t="shared" ref="E100:G100" si="31">SUM(E101:E105)</f>
        <v>145000</v>
      </c>
      <c r="F100" s="131">
        <f t="shared" si="31"/>
        <v>0</v>
      </c>
      <c r="G100" s="131">
        <f t="shared" si="31"/>
        <v>130000</v>
      </c>
      <c r="H100" s="131">
        <f>SUM(H101:H105)</f>
        <v>0</v>
      </c>
      <c r="I100" s="131">
        <f t="shared" ref="I100:K100" si="32">SUM(I101:I105)</f>
        <v>300043</v>
      </c>
      <c r="J100" s="131">
        <f t="shared" si="32"/>
        <v>43600</v>
      </c>
      <c r="K100" s="131">
        <f t="shared" si="32"/>
        <v>30000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2215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2218</v>
      </c>
      <c r="D102" s="133">
        <f t="shared" si="26"/>
        <v>648643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145000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130000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300043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43600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30000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2225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2226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2228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123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2229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2233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2241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2242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2243</v>
      </c>
      <c r="B8" s="26"/>
    </row>
    <row r="9" spans="1:8" ht="15.75" thickBot="1"/>
    <row r="10" spans="1:8" ht="15" customHeight="1">
      <c r="A10" s="302" t="s">
        <v>14</v>
      </c>
      <c r="B10" s="304" t="s">
        <v>2244</v>
      </c>
      <c r="C10" s="304" t="s">
        <v>2245</v>
      </c>
      <c r="D10" s="307" t="s">
        <v>2246</v>
      </c>
      <c r="E10" s="300" t="s">
        <v>2247</v>
      </c>
      <c r="F10" s="300" t="s">
        <v>2248</v>
      </c>
      <c r="G10" s="300" t="s">
        <v>2249</v>
      </c>
      <c r="H10" s="300" t="s">
        <v>2250</v>
      </c>
    </row>
    <row r="11" spans="1:8" ht="15.75" thickBot="1">
      <c r="A11" s="303"/>
      <c r="B11" s="305"/>
      <c r="C11" s="306"/>
      <c r="D11" s="308"/>
      <c r="E11" s="309"/>
      <c r="F11" s="301"/>
      <c r="G11" s="301"/>
      <c r="H11" s="301"/>
    </row>
    <row r="12" spans="1:8">
      <c r="A12" s="29"/>
      <c r="B12" s="30"/>
      <c r="C12" s="31"/>
      <c r="D12" s="197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2251</v>
      </c>
      <c r="B23" s="55"/>
      <c r="C23" s="56"/>
      <c r="D23" s="56"/>
      <c r="E23" s="56"/>
      <c r="F23" s="56"/>
      <c r="G23" s="57" t="s">
        <v>2252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2253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1" t="s">
        <v>2254</v>
      </c>
      <c r="B1" s="222" t="s">
        <v>19</v>
      </c>
    </row>
    <row r="2" spans="1:2" s="204" customFormat="1">
      <c r="A2" s="203" t="s">
        <v>2255</v>
      </c>
      <c r="B2" s="223" t="s">
        <v>2256</v>
      </c>
    </row>
    <row r="3" spans="1:2" hidden="1">
      <c r="A3" s="224" t="s">
        <v>21</v>
      </c>
      <c r="B3" s="225" t="s">
        <v>2257</v>
      </c>
    </row>
    <row r="4" spans="1:2" hidden="1">
      <c r="A4" s="226" t="s">
        <v>726</v>
      </c>
      <c r="B4" s="227" t="s">
        <v>727</v>
      </c>
    </row>
    <row r="5" spans="1:2" hidden="1">
      <c r="A5" s="226" t="s">
        <v>729</v>
      </c>
      <c r="B5" s="227" t="s">
        <v>730</v>
      </c>
    </row>
    <row r="6" spans="1:2" hidden="1">
      <c r="A6" s="226" t="s">
        <v>732</v>
      </c>
      <c r="B6" s="227" t="s">
        <v>733</v>
      </c>
    </row>
    <row r="7" spans="1:2" hidden="1">
      <c r="A7" s="226" t="s">
        <v>735</v>
      </c>
      <c r="B7" s="227" t="s">
        <v>736</v>
      </c>
    </row>
    <row r="8" spans="1:2" hidden="1">
      <c r="A8" s="226" t="s">
        <v>738</v>
      </c>
      <c r="B8" s="227" t="s">
        <v>739</v>
      </c>
    </row>
    <row r="9" spans="1:2" hidden="1">
      <c r="A9" s="226" t="s">
        <v>741</v>
      </c>
      <c r="B9" s="227" t="s">
        <v>742</v>
      </c>
    </row>
    <row r="10" spans="1:2" hidden="1">
      <c r="A10" s="226" t="s">
        <v>744</v>
      </c>
      <c r="B10" s="227" t="s">
        <v>745</v>
      </c>
    </row>
    <row r="11" spans="1:2" hidden="1">
      <c r="A11" s="226" t="s">
        <v>747</v>
      </c>
      <c r="B11" s="227" t="s">
        <v>748</v>
      </c>
    </row>
    <row r="12" spans="1:2" hidden="1">
      <c r="A12" s="226" t="s">
        <v>750</v>
      </c>
      <c r="B12" s="227" t="s">
        <v>751</v>
      </c>
    </row>
    <row r="13" spans="1:2" hidden="1">
      <c r="A13" s="226" t="s">
        <v>753</v>
      </c>
      <c r="B13" s="227" t="s">
        <v>754</v>
      </c>
    </row>
    <row r="14" spans="1:2" hidden="1">
      <c r="A14" s="226" t="s">
        <v>756</v>
      </c>
      <c r="B14" s="227" t="s">
        <v>757</v>
      </c>
    </row>
    <row r="15" spans="1:2" hidden="1">
      <c r="A15" s="226" t="s">
        <v>759</v>
      </c>
      <c r="B15" s="227" t="s">
        <v>760</v>
      </c>
    </row>
    <row r="16" spans="1:2" hidden="1">
      <c r="A16" s="226" t="s">
        <v>762</v>
      </c>
      <c r="B16" s="227" t="s">
        <v>763</v>
      </c>
    </row>
    <row r="17" spans="1:2" hidden="1">
      <c r="A17" s="226" t="s">
        <v>765</v>
      </c>
      <c r="B17" s="227" t="s">
        <v>766</v>
      </c>
    </row>
    <row r="18" spans="1:2" hidden="1">
      <c r="A18" s="226" t="s">
        <v>768</v>
      </c>
      <c r="B18" s="227" t="s">
        <v>769</v>
      </c>
    </row>
    <row r="19" spans="1:2" hidden="1">
      <c r="A19" s="226" t="s">
        <v>771</v>
      </c>
      <c r="B19" s="227" t="s">
        <v>772</v>
      </c>
    </row>
    <row r="20" spans="1:2" hidden="1">
      <c r="A20" s="226" t="s">
        <v>774</v>
      </c>
      <c r="B20" s="227" t="s">
        <v>775</v>
      </c>
    </row>
    <row r="21" spans="1:2" hidden="1">
      <c r="A21" s="226" t="s">
        <v>777</v>
      </c>
      <c r="B21" s="227" t="s">
        <v>778</v>
      </c>
    </row>
    <row r="22" spans="1:2" hidden="1">
      <c r="A22" s="226" t="s">
        <v>780</v>
      </c>
      <c r="B22" s="227" t="s">
        <v>781</v>
      </c>
    </row>
    <row r="23" spans="1:2" hidden="1">
      <c r="A23" s="226" t="s">
        <v>783</v>
      </c>
      <c r="B23" s="227" t="s">
        <v>784</v>
      </c>
    </row>
    <row r="24" spans="1:2" hidden="1">
      <c r="A24" s="226" t="s">
        <v>786</v>
      </c>
      <c r="B24" s="227" t="s">
        <v>787</v>
      </c>
    </row>
    <row r="25" spans="1:2" hidden="1">
      <c r="A25" s="226" t="s">
        <v>789</v>
      </c>
      <c r="B25" s="227" t="s">
        <v>790</v>
      </c>
    </row>
    <row r="26" spans="1:2" hidden="1">
      <c r="A26" s="226" t="s">
        <v>792</v>
      </c>
      <c r="B26" s="227" t="s">
        <v>793</v>
      </c>
    </row>
    <row r="27" spans="1:2" hidden="1">
      <c r="A27" s="226" t="s">
        <v>795</v>
      </c>
      <c r="B27" s="227" t="s">
        <v>796</v>
      </c>
    </row>
    <row r="28" spans="1:2" hidden="1">
      <c r="A28" s="226" t="s">
        <v>798</v>
      </c>
      <c r="B28" s="227" t="s">
        <v>799</v>
      </c>
    </row>
    <row r="29" spans="1:2" hidden="1">
      <c r="A29" s="226" t="s">
        <v>801</v>
      </c>
      <c r="B29" s="227" t="s">
        <v>802</v>
      </c>
    </row>
    <row r="30" spans="1:2" hidden="1">
      <c r="A30" s="226" t="s">
        <v>804</v>
      </c>
      <c r="B30" s="227" t="s">
        <v>805</v>
      </c>
    </row>
    <row r="31" spans="1:2" hidden="1">
      <c r="A31" s="226" t="s">
        <v>807</v>
      </c>
      <c r="B31" s="227" t="s">
        <v>808</v>
      </c>
    </row>
    <row r="32" spans="1:2" hidden="1">
      <c r="A32" s="226" t="s">
        <v>810</v>
      </c>
      <c r="B32" s="227" t="s">
        <v>811</v>
      </c>
    </row>
    <row r="33" spans="1:2" hidden="1">
      <c r="A33" s="226" t="s">
        <v>813</v>
      </c>
      <c r="B33" s="227" t="s">
        <v>814</v>
      </c>
    </row>
    <row r="34" spans="1:2" hidden="1">
      <c r="A34" s="226" t="s">
        <v>819</v>
      </c>
      <c r="B34" s="227" t="s">
        <v>820</v>
      </c>
    </row>
    <row r="35" spans="1:2" hidden="1">
      <c r="A35" s="226" t="s">
        <v>825</v>
      </c>
      <c r="B35" s="227" t="s">
        <v>826</v>
      </c>
    </row>
    <row r="36" spans="1:2" hidden="1">
      <c r="A36" s="226" t="s">
        <v>828</v>
      </c>
      <c r="B36" s="227" t="s">
        <v>829</v>
      </c>
    </row>
    <row r="37" spans="1:2" hidden="1">
      <c r="A37" s="226" t="s">
        <v>830</v>
      </c>
      <c r="B37" s="227" t="s">
        <v>831</v>
      </c>
    </row>
    <row r="38" spans="1:2">
      <c r="A38" s="224" t="s">
        <v>29</v>
      </c>
      <c r="B38" s="225" t="s">
        <v>28</v>
      </c>
    </row>
    <row r="39" spans="1:2">
      <c r="A39" s="226" t="s">
        <v>833</v>
      </c>
      <c r="B39" s="227" t="s">
        <v>834</v>
      </c>
    </row>
    <row r="40" spans="1:2">
      <c r="A40" s="226" t="s">
        <v>836</v>
      </c>
      <c r="B40" s="227" t="s">
        <v>837</v>
      </c>
    </row>
    <row r="41" spans="1:2">
      <c r="A41" s="226" t="s">
        <v>839</v>
      </c>
      <c r="B41" s="227" t="s">
        <v>840</v>
      </c>
    </row>
    <row r="42" spans="1:2">
      <c r="A42" s="226" t="s">
        <v>842</v>
      </c>
      <c r="B42" s="227" t="s">
        <v>843</v>
      </c>
    </row>
    <row r="43" spans="1:2">
      <c r="A43" s="226" t="s">
        <v>845</v>
      </c>
      <c r="B43" s="227" t="s">
        <v>846</v>
      </c>
    </row>
    <row r="44" spans="1:2">
      <c r="A44" s="226" t="s">
        <v>848</v>
      </c>
      <c r="B44" s="227" t="s">
        <v>849</v>
      </c>
    </row>
    <row r="45" spans="1:2">
      <c r="A45" s="226" t="s">
        <v>851</v>
      </c>
      <c r="B45" s="227" t="s">
        <v>852</v>
      </c>
    </row>
    <row r="46" spans="1:2">
      <c r="A46" s="226" t="s">
        <v>854</v>
      </c>
      <c r="B46" s="227" t="s">
        <v>855</v>
      </c>
    </row>
    <row r="47" spans="1:2">
      <c r="A47" s="226" t="s">
        <v>857</v>
      </c>
      <c r="B47" s="227" t="s">
        <v>858</v>
      </c>
    </row>
    <row r="48" spans="1:2">
      <c r="A48" s="226" t="s">
        <v>860</v>
      </c>
      <c r="B48" s="227" t="s">
        <v>861</v>
      </c>
    </row>
    <row r="49" spans="1:2">
      <c r="A49" s="228" t="s">
        <v>863</v>
      </c>
      <c r="B49" s="229" t="s">
        <v>864</v>
      </c>
    </row>
    <row r="50" spans="1:2">
      <c r="A50" s="226" t="s">
        <v>866</v>
      </c>
      <c r="B50" s="227" t="s">
        <v>867</v>
      </c>
    </row>
    <row r="51" spans="1:2">
      <c r="A51" s="226" t="s">
        <v>869</v>
      </c>
      <c r="B51" s="227" t="s">
        <v>870</v>
      </c>
    </row>
    <row r="52" spans="1:2">
      <c r="A52" s="226" t="s">
        <v>872</v>
      </c>
      <c r="B52" s="227" t="s">
        <v>873</v>
      </c>
    </row>
    <row r="53" spans="1:2">
      <c r="A53" s="226" t="s">
        <v>875</v>
      </c>
      <c r="B53" s="227" t="s">
        <v>876</v>
      </c>
    </row>
    <row r="54" spans="1:2">
      <c r="A54" s="226" t="s">
        <v>878</v>
      </c>
      <c r="B54" s="227" t="s">
        <v>879</v>
      </c>
    </row>
    <row r="55" spans="1:2">
      <c r="A55" s="226" t="s">
        <v>881</v>
      </c>
      <c r="B55" s="227" t="s">
        <v>882</v>
      </c>
    </row>
    <row r="56" spans="1:2">
      <c r="A56" s="226" t="s">
        <v>884</v>
      </c>
      <c r="B56" s="227" t="s">
        <v>885</v>
      </c>
    </row>
    <row r="57" spans="1:2">
      <c r="A57" s="226" t="s">
        <v>887</v>
      </c>
      <c r="B57" s="227" t="s">
        <v>888</v>
      </c>
    </row>
    <row r="58" spans="1:2">
      <c r="A58" s="226" t="s">
        <v>889</v>
      </c>
      <c r="B58" s="227" t="s">
        <v>890</v>
      </c>
    </row>
    <row r="59" spans="1:2">
      <c r="A59" s="226" t="s">
        <v>891</v>
      </c>
      <c r="B59" s="227" t="s">
        <v>892</v>
      </c>
    </row>
    <row r="60" spans="1:2">
      <c r="A60" s="226" t="s">
        <v>894</v>
      </c>
      <c r="B60" s="227" t="s">
        <v>895</v>
      </c>
    </row>
    <row r="61" spans="1:2">
      <c r="A61" s="226" t="s">
        <v>897</v>
      </c>
      <c r="B61" s="227" t="s">
        <v>898</v>
      </c>
    </row>
    <row r="62" spans="1:2">
      <c r="A62" s="226" t="s">
        <v>900</v>
      </c>
      <c r="B62" s="227" t="s">
        <v>901</v>
      </c>
    </row>
    <row r="63" spans="1:2">
      <c r="A63" s="226" t="s">
        <v>903</v>
      </c>
      <c r="B63" s="227" t="s">
        <v>904</v>
      </c>
    </row>
    <row r="64" spans="1:2">
      <c r="A64" s="226" t="s">
        <v>906</v>
      </c>
      <c r="B64" s="227" t="s">
        <v>907</v>
      </c>
    </row>
    <row r="65" spans="1:2">
      <c r="A65" s="226" t="s">
        <v>909</v>
      </c>
      <c r="B65" s="227" t="s">
        <v>910</v>
      </c>
    </row>
    <row r="66" spans="1:2">
      <c r="A66" s="224" t="s">
        <v>442</v>
      </c>
      <c r="B66" s="225" t="s">
        <v>2258</v>
      </c>
    </row>
    <row r="67" spans="1:2">
      <c r="A67" s="226" t="s">
        <v>912</v>
      </c>
      <c r="B67" s="227" t="s">
        <v>913</v>
      </c>
    </row>
    <row r="68" spans="1:2">
      <c r="A68" s="226" t="s">
        <v>915</v>
      </c>
      <c r="B68" s="227" t="s">
        <v>916</v>
      </c>
    </row>
    <row r="69" spans="1:2">
      <c r="A69" s="226" t="s">
        <v>918</v>
      </c>
      <c r="B69" s="227" t="s">
        <v>919</v>
      </c>
    </row>
    <row r="70" spans="1:2">
      <c r="A70" s="226" t="s">
        <v>921</v>
      </c>
      <c r="B70" s="227" t="s">
        <v>922</v>
      </c>
    </row>
    <row r="71" spans="1:2">
      <c r="A71" s="226" t="s">
        <v>924</v>
      </c>
      <c r="B71" s="227" t="s">
        <v>925</v>
      </c>
    </row>
    <row r="72" spans="1:2">
      <c r="A72" s="226" t="s">
        <v>927</v>
      </c>
      <c r="B72" s="227" t="s">
        <v>928</v>
      </c>
    </row>
    <row r="73" spans="1:2">
      <c r="A73" s="226" t="s">
        <v>930</v>
      </c>
      <c r="B73" s="227" t="s">
        <v>931</v>
      </c>
    </row>
    <row r="74" spans="1:2">
      <c r="A74" s="224" t="s">
        <v>544</v>
      </c>
      <c r="B74" s="225" t="s">
        <v>2259</v>
      </c>
    </row>
    <row r="75" spans="1:2">
      <c r="A75" s="226" t="s">
        <v>933</v>
      </c>
      <c r="B75" s="227" t="s">
        <v>934</v>
      </c>
    </row>
    <row r="76" spans="1:2">
      <c r="A76" s="226" t="s">
        <v>936</v>
      </c>
      <c r="B76" s="227" t="s">
        <v>937</v>
      </c>
    </row>
    <row r="77" spans="1:2">
      <c r="A77" s="224" t="s">
        <v>2260</v>
      </c>
      <c r="B77" s="225" t="s">
        <v>2261</v>
      </c>
    </row>
    <row r="78" spans="1:2">
      <c r="A78" s="226" t="s">
        <v>939</v>
      </c>
      <c r="B78" s="227" t="s">
        <v>940</v>
      </c>
    </row>
    <row r="79" spans="1:2">
      <c r="A79" s="226" t="s">
        <v>942</v>
      </c>
      <c r="B79" s="227" t="s">
        <v>943</v>
      </c>
    </row>
    <row r="80" spans="1:2">
      <c r="A80" s="226" t="s">
        <v>945</v>
      </c>
      <c r="B80" s="227" t="s">
        <v>946</v>
      </c>
    </row>
    <row r="81" spans="1:2">
      <c r="A81" s="226" t="s">
        <v>948</v>
      </c>
      <c r="B81" s="227" t="s">
        <v>949</v>
      </c>
    </row>
    <row r="82" spans="1:2">
      <c r="A82" s="224" t="s">
        <v>2262</v>
      </c>
      <c r="B82" s="225" t="s">
        <v>2263</v>
      </c>
    </row>
    <row r="83" spans="1:2">
      <c r="A83" s="226" t="s">
        <v>951</v>
      </c>
      <c r="B83" s="227" t="s">
        <v>952</v>
      </c>
    </row>
    <row r="84" spans="1:2">
      <c r="A84" s="226" t="s">
        <v>954</v>
      </c>
      <c r="B84" s="227" t="s">
        <v>955</v>
      </c>
    </row>
    <row r="85" spans="1:2">
      <c r="A85" s="226" t="s">
        <v>957</v>
      </c>
      <c r="B85" s="227" t="s">
        <v>958</v>
      </c>
    </row>
    <row r="86" spans="1:2">
      <c r="A86" s="226" t="s">
        <v>960</v>
      </c>
      <c r="B86" s="227" t="s">
        <v>961</v>
      </c>
    </row>
    <row r="87" spans="1:2">
      <c r="A87" s="226" t="s">
        <v>963</v>
      </c>
      <c r="B87" s="227" t="s">
        <v>964</v>
      </c>
    </row>
    <row r="88" spans="1:2">
      <c r="A88" s="226" t="s">
        <v>966</v>
      </c>
      <c r="B88" s="227" t="s">
        <v>967</v>
      </c>
    </row>
    <row r="89" spans="1:2">
      <c r="A89" s="226" t="s">
        <v>969</v>
      </c>
      <c r="B89" s="227" t="s">
        <v>970</v>
      </c>
    </row>
    <row r="90" spans="1:2">
      <c r="A90" s="226" t="s">
        <v>972</v>
      </c>
      <c r="B90" s="227" t="s">
        <v>973</v>
      </c>
    </row>
    <row r="91" spans="1:2">
      <c r="A91" s="226" t="s">
        <v>975</v>
      </c>
      <c r="B91" s="227" t="s">
        <v>976</v>
      </c>
    </row>
    <row r="92" spans="1:2">
      <c r="A92" s="226" t="s">
        <v>978</v>
      </c>
      <c r="B92" s="227" t="s">
        <v>979</v>
      </c>
    </row>
    <row r="93" spans="1:2">
      <c r="A93" s="226" t="s">
        <v>981</v>
      </c>
      <c r="B93" s="227" t="s">
        <v>982</v>
      </c>
    </row>
    <row r="94" spans="1:2">
      <c r="A94" s="226" t="s">
        <v>984</v>
      </c>
      <c r="B94" s="227" t="s">
        <v>985</v>
      </c>
    </row>
    <row r="95" spans="1:2">
      <c r="A95" s="226" t="s">
        <v>987</v>
      </c>
      <c r="B95" s="227" t="s">
        <v>988</v>
      </c>
    </row>
    <row r="96" spans="1:2">
      <c r="A96" s="226" t="s">
        <v>990</v>
      </c>
      <c r="B96" s="227" t="s">
        <v>991</v>
      </c>
    </row>
    <row r="97" spans="1:2">
      <c r="A97" s="224" t="s">
        <v>2264</v>
      </c>
      <c r="B97" s="225" t="s">
        <v>2265</v>
      </c>
    </row>
    <row r="98" spans="1:2">
      <c r="A98" s="226" t="s">
        <v>993</v>
      </c>
      <c r="B98" s="227" t="s">
        <v>994</v>
      </c>
    </row>
    <row r="99" spans="1:2">
      <c r="A99" s="226" t="s">
        <v>996</v>
      </c>
      <c r="B99" s="227" t="s">
        <v>997</v>
      </c>
    </row>
    <row r="100" spans="1:2">
      <c r="A100" s="224" t="s">
        <v>2266</v>
      </c>
      <c r="B100" s="225" t="s">
        <v>2267</v>
      </c>
    </row>
    <row r="101" spans="1:2">
      <c r="A101" s="226" t="s">
        <v>999</v>
      </c>
      <c r="B101" s="227" t="s">
        <v>1000</v>
      </c>
    </row>
    <row r="102" spans="1:2">
      <c r="A102" s="226" t="s">
        <v>1002</v>
      </c>
      <c r="B102" s="227" t="s">
        <v>1003</v>
      </c>
    </row>
    <row r="103" spans="1:2">
      <c r="A103" s="226" t="s">
        <v>1005</v>
      </c>
      <c r="B103" s="227" t="s">
        <v>1006</v>
      </c>
    </row>
    <row r="104" spans="1:2">
      <c r="A104" s="226" t="s">
        <v>1008</v>
      </c>
      <c r="B104" s="227" t="s">
        <v>1009</v>
      </c>
    </row>
    <row r="105" spans="1:2">
      <c r="A105" s="224" t="s">
        <v>2268</v>
      </c>
      <c r="B105" s="225" t="s">
        <v>2269</v>
      </c>
    </row>
    <row r="106" spans="1:2">
      <c r="A106" s="226" t="s">
        <v>1011</v>
      </c>
      <c r="B106" s="227" t="s">
        <v>1012</v>
      </c>
    </row>
    <row r="107" spans="1:2">
      <c r="A107" s="226" t="s">
        <v>1014</v>
      </c>
      <c r="B107" s="227" t="s">
        <v>1015</v>
      </c>
    </row>
    <row r="108" spans="1:2">
      <c r="A108" s="226" t="s">
        <v>1017</v>
      </c>
      <c r="B108" s="227" t="s">
        <v>1018</v>
      </c>
    </row>
    <row r="109" spans="1:2">
      <c r="A109" s="226" t="s">
        <v>1020</v>
      </c>
      <c r="B109" s="227" t="s">
        <v>1021</v>
      </c>
    </row>
    <row r="110" spans="1:2">
      <c r="A110" s="226" t="s">
        <v>1023</v>
      </c>
      <c r="B110" s="227" t="s">
        <v>1024</v>
      </c>
    </row>
    <row r="111" spans="1:2">
      <c r="A111" s="226" t="s">
        <v>1026</v>
      </c>
      <c r="B111" s="227" t="s">
        <v>1027</v>
      </c>
    </row>
    <row r="112" spans="1:2">
      <c r="A112" s="226" t="s">
        <v>1029</v>
      </c>
      <c r="B112" s="227" t="s">
        <v>1030</v>
      </c>
    </row>
    <row r="113" spans="1:2">
      <c r="A113" s="226" t="s">
        <v>1032</v>
      </c>
      <c r="B113" s="227" t="s">
        <v>1033</v>
      </c>
    </row>
    <row r="114" spans="1:2">
      <c r="A114" s="226" t="s">
        <v>1035</v>
      </c>
      <c r="B114" s="227" t="s">
        <v>1036</v>
      </c>
    </row>
    <row r="115" spans="1:2">
      <c r="A115" s="226" t="s">
        <v>1038</v>
      </c>
      <c r="B115" s="227" t="s">
        <v>823</v>
      </c>
    </row>
    <row r="116" spans="1:2">
      <c r="A116" s="224" t="s">
        <v>2270</v>
      </c>
      <c r="B116" s="225" t="s">
        <v>2271</v>
      </c>
    </row>
    <row r="117" spans="1:2">
      <c r="A117" s="226" t="s">
        <v>1040</v>
      </c>
      <c r="B117" s="227" t="s">
        <v>1041</v>
      </c>
    </row>
    <row r="118" spans="1:2">
      <c r="A118" s="226" t="s">
        <v>1043</v>
      </c>
      <c r="B118" s="227" t="s">
        <v>1044</v>
      </c>
    </row>
    <row r="119" spans="1:2">
      <c r="A119" s="226" t="s">
        <v>1046</v>
      </c>
      <c r="B119" s="227" t="s">
        <v>1047</v>
      </c>
    </row>
    <row r="120" spans="1:2">
      <c r="A120" s="226" t="s">
        <v>1049</v>
      </c>
      <c r="B120" s="227" t="s">
        <v>1050</v>
      </c>
    </row>
    <row r="121" spans="1:2">
      <c r="A121" s="226" t="s">
        <v>1052</v>
      </c>
      <c r="B121" s="227" t="s">
        <v>1053</v>
      </c>
    </row>
    <row r="122" spans="1:2">
      <c r="A122" s="226" t="s">
        <v>1055</v>
      </c>
      <c r="B122" s="227" t="s">
        <v>1056</v>
      </c>
    </row>
    <row r="123" spans="1:2">
      <c r="A123" s="226" t="s">
        <v>1058</v>
      </c>
      <c r="B123" s="227" t="s">
        <v>1059</v>
      </c>
    </row>
    <row r="124" spans="1:2">
      <c r="A124" s="226" t="s">
        <v>1061</v>
      </c>
      <c r="B124" s="227" t="s">
        <v>1062</v>
      </c>
    </row>
    <row r="125" spans="1:2">
      <c r="A125" s="226" t="s">
        <v>1064</v>
      </c>
      <c r="B125" s="227" t="s">
        <v>1065</v>
      </c>
    </row>
    <row r="126" spans="1:2">
      <c r="A126" s="226" t="s">
        <v>1067</v>
      </c>
      <c r="B126" s="227" t="s">
        <v>1068</v>
      </c>
    </row>
    <row r="127" spans="1:2">
      <c r="A127" s="226" t="s">
        <v>1070</v>
      </c>
      <c r="B127" s="227" t="s">
        <v>1071</v>
      </c>
    </row>
    <row r="128" spans="1:2">
      <c r="A128" s="226" t="s">
        <v>1073</v>
      </c>
      <c r="B128" s="227" t="s">
        <v>1074</v>
      </c>
    </row>
    <row r="129" spans="1:2">
      <c r="A129" s="226" t="s">
        <v>1076</v>
      </c>
      <c r="B129" s="227" t="s">
        <v>1077</v>
      </c>
    </row>
    <row r="130" spans="1:2">
      <c r="A130" s="226" t="s">
        <v>1079</v>
      </c>
      <c r="B130" s="227" t="s">
        <v>1080</v>
      </c>
    </row>
    <row r="131" spans="1:2">
      <c r="A131" s="226" t="s">
        <v>1082</v>
      </c>
      <c r="B131" s="227" t="s">
        <v>1083</v>
      </c>
    </row>
    <row r="132" spans="1:2">
      <c r="A132" s="226" t="s">
        <v>1085</v>
      </c>
      <c r="B132" s="227" t="s">
        <v>1086</v>
      </c>
    </row>
    <row r="133" spans="1:2">
      <c r="A133" s="226" t="s">
        <v>1088</v>
      </c>
      <c r="B133" s="227" t="s">
        <v>1089</v>
      </c>
    </row>
    <row r="134" spans="1:2">
      <c r="A134" s="226" t="s">
        <v>1090</v>
      </c>
      <c r="B134" s="227" t="s">
        <v>1091</v>
      </c>
    </row>
    <row r="135" spans="1:2">
      <c r="A135" s="226" t="s">
        <v>1092</v>
      </c>
      <c r="B135" s="227" t="s">
        <v>823</v>
      </c>
    </row>
    <row r="136" spans="1:2">
      <c r="A136" s="226" t="s">
        <v>1093</v>
      </c>
      <c r="B136" s="227" t="s">
        <v>1094</v>
      </c>
    </row>
    <row r="137" spans="1:2">
      <c r="A137" s="226" t="s">
        <v>1095</v>
      </c>
      <c r="B137" s="227" t="s">
        <v>1096</v>
      </c>
    </row>
    <row r="138" spans="1:2">
      <c r="A138" s="224" t="s">
        <v>2272</v>
      </c>
      <c r="B138" s="225" t="s">
        <v>2273</v>
      </c>
    </row>
    <row r="139" spans="1:2">
      <c r="A139" s="226" t="s">
        <v>1097</v>
      </c>
      <c r="B139" s="227" t="s">
        <v>1098</v>
      </c>
    </row>
    <row r="140" spans="1:2">
      <c r="A140" s="226" t="s">
        <v>1099</v>
      </c>
      <c r="B140" s="227" t="s">
        <v>1100</v>
      </c>
    </row>
    <row r="141" spans="1:2">
      <c r="A141" s="226" t="s">
        <v>1101</v>
      </c>
      <c r="B141" s="227" t="s">
        <v>1102</v>
      </c>
    </row>
    <row r="142" spans="1:2">
      <c r="A142" s="226" t="s">
        <v>1103</v>
      </c>
      <c r="B142" s="227" t="s">
        <v>1104</v>
      </c>
    </row>
    <row r="143" spans="1:2">
      <c r="A143" s="226" t="s">
        <v>1105</v>
      </c>
      <c r="B143" s="227" t="s">
        <v>1106</v>
      </c>
    </row>
    <row r="144" spans="1:2">
      <c r="A144" s="226" t="s">
        <v>1107</v>
      </c>
      <c r="B144" s="227" t="s">
        <v>1108</v>
      </c>
    </row>
    <row r="145" spans="1:2">
      <c r="A145" s="226" t="s">
        <v>1109</v>
      </c>
      <c r="B145" s="227" t="s">
        <v>1110</v>
      </c>
    </row>
    <row r="146" spans="1:2">
      <c r="A146" s="226" t="s">
        <v>1111</v>
      </c>
      <c r="B146" s="227" t="s">
        <v>1112</v>
      </c>
    </row>
    <row r="147" spans="1:2">
      <c r="A147" s="226" t="s">
        <v>1113</v>
      </c>
      <c r="B147" s="227" t="s">
        <v>1114</v>
      </c>
    </row>
    <row r="148" spans="1:2">
      <c r="A148" s="226" t="s">
        <v>1115</v>
      </c>
      <c r="B148" s="227" t="s">
        <v>1116</v>
      </c>
    </row>
    <row r="149" spans="1:2">
      <c r="A149" s="224" t="s">
        <v>2274</v>
      </c>
      <c r="B149" s="225" t="s">
        <v>2275</v>
      </c>
    </row>
    <row r="150" spans="1:2">
      <c r="A150" s="226" t="s">
        <v>1117</v>
      </c>
      <c r="B150" s="227" t="s">
        <v>1118</v>
      </c>
    </row>
    <row r="151" spans="1:2">
      <c r="A151" s="226" t="s">
        <v>1119</v>
      </c>
      <c r="B151" s="227" t="s">
        <v>1120</v>
      </c>
    </row>
    <row r="152" spans="1:2">
      <c r="A152" s="226" t="s">
        <v>1121</v>
      </c>
      <c r="B152" s="227" t="s">
        <v>1122</v>
      </c>
    </row>
    <row r="153" spans="1:2">
      <c r="A153" s="226" t="s">
        <v>1123</v>
      </c>
      <c r="B153" s="227" t="s">
        <v>1124</v>
      </c>
    </row>
    <row r="154" spans="1:2">
      <c r="A154" s="226" t="s">
        <v>1125</v>
      </c>
      <c r="B154" s="227" t="s">
        <v>1126</v>
      </c>
    </row>
    <row r="155" spans="1:2">
      <c r="A155" s="226" t="s">
        <v>1127</v>
      </c>
      <c r="B155" s="227" t="s">
        <v>1128</v>
      </c>
    </row>
    <row r="156" spans="1:2">
      <c r="A156" s="226" t="s">
        <v>1129</v>
      </c>
      <c r="B156" s="227" t="s">
        <v>1130</v>
      </c>
    </row>
    <row r="157" spans="1:2">
      <c r="A157" s="226" t="s">
        <v>1131</v>
      </c>
      <c r="B157" s="227" t="s">
        <v>1132</v>
      </c>
    </row>
    <row r="158" spans="1:2">
      <c r="A158" s="226" t="s">
        <v>1133</v>
      </c>
      <c r="B158" s="227" t="s">
        <v>1134</v>
      </c>
    </row>
    <row r="159" spans="1:2">
      <c r="A159" s="226" t="s">
        <v>1135</v>
      </c>
      <c r="B159" s="227" t="s">
        <v>1136</v>
      </c>
    </row>
    <row r="160" spans="1:2">
      <c r="A160" s="226" t="s">
        <v>1137</v>
      </c>
      <c r="B160" s="227" t="s">
        <v>1138</v>
      </c>
    </row>
    <row r="161" spans="1:2">
      <c r="A161" s="226" t="s">
        <v>1139</v>
      </c>
      <c r="B161" s="227" t="s">
        <v>1140</v>
      </c>
    </row>
    <row r="162" spans="1:2">
      <c r="A162" s="226" t="s">
        <v>1141</v>
      </c>
      <c r="B162" s="227" t="s">
        <v>1142</v>
      </c>
    </row>
    <row r="163" spans="1:2">
      <c r="A163" s="226" t="s">
        <v>1143</v>
      </c>
      <c r="B163" s="227" t="s">
        <v>1144</v>
      </c>
    </row>
    <row r="164" spans="1:2">
      <c r="A164" s="226" t="s">
        <v>1145</v>
      </c>
      <c r="B164" s="227" t="s">
        <v>1146</v>
      </c>
    </row>
    <row r="165" spans="1:2">
      <c r="A165" s="226" t="s">
        <v>1147</v>
      </c>
      <c r="B165" s="227" t="s">
        <v>1148</v>
      </c>
    </row>
    <row r="166" spans="1:2">
      <c r="A166" s="226" t="s">
        <v>1149</v>
      </c>
      <c r="B166" s="227" t="s">
        <v>1150</v>
      </c>
    </row>
    <row r="167" spans="1:2">
      <c r="A167" s="226" t="s">
        <v>1151</v>
      </c>
      <c r="B167" s="227" t="s">
        <v>1152</v>
      </c>
    </row>
    <row r="168" spans="1:2">
      <c r="A168" s="226" t="s">
        <v>1153</v>
      </c>
      <c r="B168" s="227" t="s">
        <v>1154</v>
      </c>
    </row>
    <row r="169" spans="1:2">
      <c r="A169" s="224" t="s">
        <v>2276</v>
      </c>
      <c r="B169" s="225" t="s">
        <v>2277</v>
      </c>
    </row>
    <row r="170" spans="1:2">
      <c r="A170" s="226" t="s">
        <v>1155</v>
      </c>
      <c r="B170" s="227" t="s">
        <v>1156</v>
      </c>
    </row>
    <row r="171" spans="1:2">
      <c r="A171" s="226" t="s">
        <v>1157</v>
      </c>
      <c r="B171" s="227" t="s">
        <v>1158</v>
      </c>
    </row>
    <row r="172" spans="1:2">
      <c r="A172" s="226" t="s">
        <v>1159</v>
      </c>
      <c r="B172" s="227" t="s">
        <v>1160</v>
      </c>
    </row>
    <row r="173" spans="1:2">
      <c r="A173" s="226" t="s">
        <v>1161</v>
      </c>
      <c r="B173" s="227" t="s">
        <v>1162</v>
      </c>
    </row>
    <row r="174" spans="1:2">
      <c r="A174" s="226" t="s">
        <v>1163</v>
      </c>
      <c r="B174" s="227" t="s">
        <v>1164</v>
      </c>
    </row>
    <row r="175" spans="1:2">
      <c r="A175" s="226" t="s">
        <v>1165</v>
      </c>
      <c r="B175" s="227" t="s">
        <v>757</v>
      </c>
    </row>
    <row r="176" spans="1:2">
      <c r="A176" s="226" t="s">
        <v>1166</v>
      </c>
      <c r="B176" s="227" t="s">
        <v>1167</v>
      </c>
    </row>
    <row r="177" spans="1:2">
      <c r="A177" s="226" t="s">
        <v>1168</v>
      </c>
      <c r="B177" s="227" t="s">
        <v>1169</v>
      </c>
    </row>
    <row r="178" spans="1:2">
      <c r="A178" s="226" t="s">
        <v>1170</v>
      </c>
      <c r="B178" s="227" t="s">
        <v>1171</v>
      </c>
    </row>
    <row r="179" spans="1:2">
      <c r="A179" s="226" t="s">
        <v>1172</v>
      </c>
      <c r="B179" s="227" t="s">
        <v>1173</v>
      </c>
    </row>
    <row r="180" spans="1:2">
      <c r="A180" s="226" t="s">
        <v>1174</v>
      </c>
      <c r="B180" s="227" t="s">
        <v>1175</v>
      </c>
    </row>
    <row r="181" spans="1:2">
      <c r="A181" s="226" t="s">
        <v>1176</v>
      </c>
      <c r="B181" s="227" t="s">
        <v>1177</v>
      </c>
    </row>
    <row r="182" spans="1:2">
      <c r="A182" s="226" t="s">
        <v>1178</v>
      </c>
      <c r="B182" s="227" t="s">
        <v>1179</v>
      </c>
    </row>
    <row r="183" spans="1:2">
      <c r="A183" s="226" t="s">
        <v>1180</v>
      </c>
      <c r="B183" s="227" t="s">
        <v>1181</v>
      </c>
    </row>
    <row r="184" spans="1:2">
      <c r="A184" s="226" t="s">
        <v>1182</v>
      </c>
      <c r="B184" s="227" t="s">
        <v>1183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63"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5" t="s">
        <v>2278</v>
      </c>
      <c r="B1" s="206"/>
    </row>
    <row r="2" spans="1:2">
      <c r="A2" s="205" t="s">
        <v>2254</v>
      </c>
      <c r="B2" s="206" t="s">
        <v>19</v>
      </c>
    </row>
    <row r="3" spans="1:2" hidden="1">
      <c r="A3" s="207" t="s">
        <v>21</v>
      </c>
      <c r="B3" s="217" t="s">
        <v>2257</v>
      </c>
    </row>
    <row r="4" spans="1:2" hidden="1">
      <c r="A4" s="208" t="s">
        <v>2279</v>
      </c>
      <c r="B4" s="218" t="s">
        <v>2280</v>
      </c>
    </row>
    <row r="5" spans="1:2" hidden="1">
      <c r="A5" s="208" t="s">
        <v>2281</v>
      </c>
      <c r="B5" s="218" t="s">
        <v>2282</v>
      </c>
    </row>
    <row r="6" spans="1:2" hidden="1">
      <c r="A6" s="209" t="s">
        <v>1192</v>
      </c>
      <c r="B6" s="210" t="s">
        <v>1193</v>
      </c>
    </row>
    <row r="7" spans="1:2" hidden="1">
      <c r="A7" s="208" t="s">
        <v>822</v>
      </c>
      <c r="B7" s="218" t="s">
        <v>823</v>
      </c>
    </row>
    <row r="8" spans="1:2" ht="22.5" hidden="1">
      <c r="A8" s="209" t="s">
        <v>1194</v>
      </c>
      <c r="B8" s="210" t="s">
        <v>1195</v>
      </c>
    </row>
    <row r="9" spans="1:2" hidden="1">
      <c r="A9" s="209" t="s">
        <v>1196</v>
      </c>
      <c r="B9" s="210" t="s">
        <v>1197</v>
      </c>
    </row>
    <row r="10" spans="1:2" hidden="1">
      <c r="A10" s="209" t="s">
        <v>1198</v>
      </c>
      <c r="B10" s="210" t="s">
        <v>1199</v>
      </c>
    </row>
    <row r="11" spans="1:2" ht="22.5" hidden="1">
      <c r="A11" s="209" t="s">
        <v>1200</v>
      </c>
      <c r="B11" s="210" t="s">
        <v>1201</v>
      </c>
    </row>
    <row r="12" spans="1:2" hidden="1">
      <c r="A12" s="209" t="s">
        <v>1202</v>
      </c>
      <c r="B12" s="210" t="s">
        <v>1203</v>
      </c>
    </row>
    <row r="13" spans="1:2" hidden="1">
      <c r="A13" s="209" t="s">
        <v>1204</v>
      </c>
      <c r="B13" s="210" t="s">
        <v>1205</v>
      </c>
    </row>
    <row r="14" spans="1:2" hidden="1">
      <c r="A14" s="209" t="s">
        <v>1206</v>
      </c>
      <c r="B14" s="210" t="s">
        <v>1207</v>
      </c>
    </row>
    <row r="15" spans="1:2" hidden="1">
      <c r="A15" s="209" t="s">
        <v>1208</v>
      </c>
      <c r="B15" s="210" t="s">
        <v>1209</v>
      </c>
    </row>
    <row r="16" spans="1:2" hidden="1">
      <c r="A16" s="209" t="s">
        <v>1210</v>
      </c>
      <c r="B16" s="210" t="s">
        <v>1211</v>
      </c>
    </row>
    <row r="17" spans="1:2" hidden="1">
      <c r="A17" s="209" t="s">
        <v>1212</v>
      </c>
      <c r="B17" s="210" t="s">
        <v>1213</v>
      </c>
    </row>
    <row r="18" spans="1:2" hidden="1">
      <c r="A18" s="209" t="s">
        <v>1214</v>
      </c>
      <c r="B18" s="210" t="s">
        <v>1215</v>
      </c>
    </row>
    <row r="19" spans="1:2" hidden="1">
      <c r="A19" s="209" t="s">
        <v>1216</v>
      </c>
      <c r="B19" s="210" t="s">
        <v>1217</v>
      </c>
    </row>
    <row r="20" spans="1:2" hidden="1">
      <c r="A20" s="209" t="s">
        <v>1218</v>
      </c>
      <c r="B20" s="210" t="s">
        <v>1219</v>
      </c>
    </row>
    <row r="21" spans="1:2" hidden="1">
      <c r="A21" s="209" t="s">
        <v>1220</v>
      </c>
      <c r="B21" s="210" t="s">
        <v>1221</v>
      </c>
    </row>
    <row r="22" spans="1:2" hidden="1">
      <c r="A22" s="209" t="s">
        <v>1222</v>
      </c>
      <c r="B22" s="210" t="s">
        <v>1223</v>
      </c>
    </row>
    <row r="23" spans="1:2" hidden="1">
      <c r="A23" s="209" t="s">
        <v>1224</v>
      </c>
      <c r="B23" s="210" t="s">
        <v>1225</v>
      </c>
    </row>
    <row r="24" spans="1:2" hidden="1">
      <c r="A24" s="209" t="s">
        <v>1226</v>
      </c>
      <c r="B24" s="210" t="s">
        <v>1227</v>
      </c>
    </row>
    <row r="25" spans="1:2" hidden="1">
      <c r="A25" s="209" t="s">
        <v>1228</v>
      </c>
      <c r="B25" s="210" t="s">
        <v>1229</v>
      </c>
    </row>
    <row r="26" spans="1:2" hidden="1">
      <c r="A26" s="209" t="s">
        <v>1230</v>
      </c>
      <c r="B26" s="210" t="s">
        <v>1231</v>
      </c>
    </row>
    <row r="27" spans="1:2" hidden="1">
      <c r="A27" s="209" t="s">
        <v>1232</v>
      </c>
      <c r="B27" s="210" t="s">
        <v>1233</v>
      </c>
    </row>
    <row r="28" spans="1:2" hidden="1">
      <c r="A28" s="209" t="s">
        <v>1234</v>
      </c>
      <c r="B28" s="210" t="s">
        <v>1235</v>
      </c>
    </row>
    <row r="29" spans="1:2" hidden="1">
      <c r="A29" s="209" t="s">
        <v>1236</v>
      </c>
      <c r="B29" s="210" t="s">
        <v>1237</v>
      </c>
    </row>
    <row r="30" spans="1:2" hidden="1">
      <c r="A30" s="209" t="s">
        <v>1238</v>
      </c>
      <c r="B30" s="210" t="s">
        <v>1239</v>
      </c>
    </row>
    <row r="31" spans="1:2" hidden="1">
      <c r="A31" s="209" t="s">
        <v>1240</v>
      </c>
      <c r="B31" s="210" t="s">
        <v>1241</v>
      </c>
    </row>
    <row r="32" spans="1:2" hidden="1">
      <c r="A32" s="209" t="s">
        <v>1242</v>
      </c>
      <c r="B32" s="210" t="s">
        <v>1243</v>
      </c>
    </row>
    <row r="33" spans="1:2" hidden="1">
      <c r="A33" s="208" t="s">
        <v>2283</v>
      </c>
      <c r="B33" s="211" t="s">
        <v>2284</v>
      </c>
    </row>
    <row r="34" spans="1:2" hidden="1">
      <c r="A34" s="208" t="s">
        <v>816</v>
      </c>
      <c r="B34" s="211" t="s">
        <v>2285</v>
      </c>
    </row>
    <row r="35" spans="1:2" hidden="1">
      <c r="A35" s="209" t="s">
        <v>1244</v>
      </c>
      <c r="B35" s="210" t="s">
        <v>1245</v>
      </c>
    </row>
    <row r="36" spans="1:2" hidden="1">
      <c r="A36" s="209" t="s">
        <v>1246</v>
      </c>
      <c r="B36" s="210" t="s">
        <v>1247</v>
      </c>
    </row>
    <row r="37" spans="1:2" hidden="1">
      <c r="A37" s="209" t="s">
        <v>1248</v>
      </c>
      <c r="B37" s="210" t="s">
        <v>1249</v>
      </c>
    </row>
    <row r="38" spans="1:2" hidden="1">
      <c r="A38" s="209" t="s">
        <v>1250</v>
      </c>
      <c r="B38" s="210" t="s">
        <v>1251</v>
      </c>
    </row>
    <row r="39" spans="1:2" hidden="1">
      <c r="A39" s="209" t="s">
        <v>1252</v>
      </c>
      <c r="B39" s="210" t="s">
        <v>1253</v>
      </c>
    </row>
    <row r="40" spans="1:2" hidden="1">
      <c r="A40" s="209" t="s">
        <v>1254</v>
      </c>
      <c r="B40" s="210" t="s">
        <v>1255</v>
      </c>
    </row>
    <row r="41" spans="1:2" hidden="1">
      <c r="A41" s="209" t="s">
        <v>1256</v>
      </c>
      <c r="B41" s="210" t="s">
        <v>1257</v>
      </c>
    </row>
    <row r="42" spans="1:2" hidden="1">
      <c r="A42" s="209" t="s">
        <v>1258</v>
      </c>
      <c r="B42" s="210" t="s">
        <v>1259</v>
      </c>
    </row>
    <row r="43" spans="1:2" hidden="1">
      <c r="A43" s="209" t="s">
        <v>1260</v>
      </c>
      <c r="B43" s="210" t="s">
        <v>1261</v>
      </c>
    </row>
    <row r="44" spans="1:2">
      <c r="A44" s="207" t="s">
        <v>29</v>
      </c>
      <c r="B44" s="212" t="s">
        <v>28</v>
      </c>
    </row>
    <row r="45" spans="1:2">
      <c r="A45" s="208" t="s">
        <v>2286</v>
      </c>
      <c r="B45" s="211" t="s">
        <v>2287</v>
      </c>
    </row>
    <row r="46" spans="1:2">
      <c r="A46" s="208" t="s">
        <v>2288</v>
      </c>
      <c r="B46" s="211" t="s">
        <v>2289</v>
      </c>
    </row>
    <row r="47" spans="1:2">
      <c r="A47" s="209" t="s">
        <v>1262</v>
      </c>
      <c r="B47" s="210" t="s">
        <v>1263</v>
      </c>
    </row>
    <row r="48" spans="1:2">
      <c r="A48" s="209" t="s">
        <v>1264</v>
      </c>
      <c r="B48" s="210" t="s">
        <v>1265</v>
      </c>
    </row>
    <row r="49" spans="1:2">
      <c r="A49" s="209" t="s">
        <v>1266</v>
      </c>
      <c r="B49" s="210" t="s">
        <v>1267</v>
      </c>
    </row>
    <row r="50" spans="1:2">
      <c r="A50" s="209" t="s">
        <v>1268</v>
      </c>
      <c r="B50" s="210" t="s">
        <v>1269</v>
      </c>
    </row>
    <row r="51" spans="1:2">
      <c r="A51" s="209" t="s">
        <v>1270</v>
      </c>
      <c r="B51" s="210" t="s">
        <v>1271</v>
      </c>
    </row>
    <row r="52" spans="1:2">
      <c r="A52" s="209" t="s">
        <v>1272</v>
      </c>
      <c r="B52" s="210" t="s">
        <v>1273</v>
      </c>
    </row>
    <row r="53" spans="1:2">
      <c r="A53" s="209" t="s">
        <v>1274</v>
      </c>
      <c r="B53" s="210" t="s">
        <v>1275</v>
      </c>
    </row>
    <row r="54" spans="1:2">
      <c r="A54" s="209" t="s">
        <v>1276</v>
      </c>
      <c r="B54" s="210" t="s">
        <v>1277</v>
      </c>
    </row>
    <row r="55" spans="1:2">
      <c r="A55" s="209" t="s">
        <v>1278</v>
      </c>
      <c r="B55" s="210" t="s">
        <v>1279</v>
      </c>
    </row>
    <row r="56" spans="1:2">
      <c r="A56" s="209" t="s">
        <v>1280</v>
      </c>
      <c r="B56" s="210" t="s">
        <v>1281</v>
      </c>
    </row>
    <row r="57" spans="1:2">
      <c r="A57" s="209" t="s">
        <v>1282</v>
      </c>
      <c r="B57" s="210" t="s">
        <v>1283</v>
      </c>
    </row>
    <row r="58" spans="1:2">
      <c r="A58" s="209" t="s">
        <v>1284</v>
      </c>
      <c r="B58" s="210" t="s">
        <v>1285</v>
      </c>
    </row>
    <row r="59" spans="1:2">
      <c r="A59" s="209" t="s">
        <v>1286</v>
      </c>
      <c r="B59" s="210" t="s">
        <v>1287</v>
      </c>
    </row>
    <row r="60" spans="1:2">
      <c r="A60" s="209" t="s">
        <v>1288</v>
      </c>
      <c r="B60" s="210" t="s">
        <v>1289</v>
      </c>
    </row>
    <row r="61" spans="1:2">
      <c r="A61" s="209" t="s">
        <v>1290</v>
      </c>
      <c r="B61" s="210" t="s">
        <v>1291</v>
      </c>
    </row>
    <row r="62" spans="1:2">
      <c r="A62" s="209" t="s">
        <v>1292</v>
      </c>
      <c r="B62" s="210" t="s">
        <v>1293</v>
      </c>
    </row>
    <row r="63" spans="1:2">
      <c r="A63" s="209" t="s">
        <v>1294</v>
      </c>
      <c r="B63" s="210" t="s">
        <v>1295</v>
      </c>
    </row>
    <row r="64" spans="1:2">
      <c r="A64" s="209" t="s">
        <v>1296</v>
      </c>
      <c r="B64" s="210" t="s">
        <v>1297</v>
      </c>
    </row>
    <row r="65" spans="1:2">
      <c r="A65" s="209" t="s">
        <v>1298</v>
      </c>
      <c r="B65" s="210" t="s">
        <v>1299</v>
      </c>
    </row>
    <row r="66" spans="1:2">
      <c r="A66" s="209" t="s">
        <v>1300</v>
      </c>
      <c r="B66" s="210" t="s">
        <v>1301</v>
      </c>
    </row>
    <row r="67" spans="1:2">
      <c r="A67" s="209" t="s">
        <v>1302</v>
      </c>
      <c r="B67" s="210" t="s">
        <v>1303</v>
      </c>
    </row>
    <row r="68" spans="1:2">
      <c r="A68" s="209" t="s">
        <v>1304</v>
      </c>
      <c r="B68" s="210" t="s">
        <v>1305</v>
      </c>
    </row>
    <row r="69" spans="1:2">
      <c r="A69" s="209" t="s">
        <v>1306</v>
      </c>
      <c r="B69" s="210" t="s">
        <v>1307</v>
      </c>
    </row>
    <row r="70" spans="1:2">
      <c r="A70" s="209" t="s">
        <v>1308</v>
      </c>
      <c r="B70" s="210" t="s">
        <v>1309</v>
      </c>
    </row>
    <row r="71" spans="1:2">
      <c r="A71" s="208" t="s">
        <v>2290</v>
      </c>
      <c r="B71" s="211" t="s">
        <v>2291</v>
      </c>
    </row>
    <row r="72" spans="1:2">
      <c r="A72" s="209" t="s">
        <v>1310</v>
      </c>
      <c r="B72" s="210" t="s">
        <v>1311</v>
      </c>
    </row>
    <row r="73" spans="1:2">
      <c r="A73" s="209" t="s">
        <v>1312</v>
      </c>
      <c r="B73" s="210" t="s">
        <v>1313</v>
      </c>
    </row>
    <row r="74" spans="1:2">
      <c r="A74" s="209" t="s">
        <v>1314</v>
      </c>
      <c r="B74" s="210" t="s">
        <v>1315</v>
      </c>
    </row>
    <row r="75" spans="1:2">
      <c r="A75" s="209" t="s">
        <v>1316</v>
      </c>
      <c r="B75" s="210" t="s">
        <v>1317</v>
      </c>
    </row>
    <row r="76" spans="1:2">
      <c r="A76" s="209" t="s">
        <v>1318</v>
      </c>
      <c r="B76" s="210" t="s">
        <v>1319</v>
      </c>
    </row>
    <row r="77" spans="1:2">
      <c r="A77" s="209" t="s">
        <v>1320</v>
      </c>
      <c r="B77" s="210" t="s">
        <v>1321</v>
      </c>
    </row>
    <row r="78" spans="1:2">
      <c r="A78" s="209" t="s">
        <v>1322</v>
      </c>
      <c r="B78" s="210" t="s">
        <v>1323</v>
      </c>
    </row>
    <row r="79" spans="1:2">
      <c r="A79" s="209" t="s">
        <v>1324</v>
      </c>
      <c r="B79" s="210" t="s">
        <v>1325</v>
      </c>
    </row>
    <row r="80" spans="1:2">
      <c r="A80" s="209" t="s">
        <v>1326</v>
      </c>
      <c r="B80" s="210" t="s">
        <v>1327</v>
      </c>
    </row>
    <row r="81" spans="1:2">
      <c r="A81" s="209" t="s">
        <v>1328</v>
      </c>
      <c r="B81" s="210" t="s">
        <v>1329</v>
      </c>
    </row>
    <row r="82" spans="1:2">
      <c r="A82" s="209" t="s">
        <v>1330</v>
      </c>
      <c r="B82" s="210" t="s">
        <v>1331</v>
      </c>
    </row>
    <row r="83" spans="1:2">
      <c r="A83" s="209" t="s">
        <v>1332</v>
      </c>
      <c r="B83" s="210" t="s">
        <v>1333</v>
      </c>
    </row>
    <row r="84" spans="1:2">
      <c r="A84" s="209" t="s">
        <v>1334</v>
      </c>
      <c r="B84" s="210" t="s">
        <v>1335</v>
      </c>
    </row>
    <row r="85" spans="1:2">
      <c r="A85" s="209" t="s">
        <v>1336</v>
      </c>
      <c r="B85" s="210" t="s">
        <v>1337</v>
      </c>
    </row>
    <row r="86" spans="1:2">
      <c r="A86" s="209" t="s">
        <v>1338</v>
      </c>
      <c r="B86" s="210" t="s">
        <v>1339</v>
      </c>
    </row>
    <row r="87" spans="1:2">
      <c r="A87" s="209" t="s">
        <v>1340</v>
      </c>
      <c r="B87" s="210" t="s">
        <v>1341</v>
      </c>
    </row>
    <row r="88" spans="1:2">
      <c r="A88" s="209" t="s">
        <v>1342</v>
      </c>
      <c r="B88" s="210" t="s">
        <v>1343</v>
      </c>
    </row>
    <row r="89" spans="1:2">
      <c r="A89" s="209" t="s">
        <v>1344</v>
      </c>
      <c r="B89" s="210" t="s">
        <v>1345</v>
      </c>
    </row>
    <row r="90" spans="1:2">
      <c r="A90" s="209" t="s">
        <v>1346</v>
      </c>
      <c r="B90" s="210" t="s">
        <v>1347</v>
      </c>
    </row>
    <row r="91" spans="1:2">
      <c r="A91" s="209" t="s">
        <v>1348</v>
      </c>
      <c r="B91" s="210" t="s">
        <v>1349</v>
      </c>
    </row>
    <row r="92" spans="1:2">
      <c r="A92" s="209" t="s">
        <v>1350</v>
      </c>
      <c r="B92" s="210" t="s">
        <v>1351</v>
      </c>
    </row>
    <row r="93" spans="1:2">
      <c r="A93" s="209" t="s">
        <v>1352</v>
      </c>
      <c r="B93" s="210" t="s">
        <v>1353</v>
      </c>
    </row>
    <row r="94" spans="1:2">
      <c r="A94" s="209" t="s">
        <v>1354</v>
      </c>
      <c r="B94" s="210" t="s">
        <v>1355</v>
      </c>
    </row>
    <row r="95" spans="1:2">
      <c r="A95" s="209" t="s">
        <v>1356</v>
      </c>
      <c r="B95" s="210" t="s">
        <v>1357</v>
      </c>
    </row>
    <row r="96" spans="1:2">
      <c r="A96" s="209" t="s">
        <v>1358</v>
      </c>
      <c r="B96" s="210" t="s">
        <v>1359</v>
      </c>
    </row>
    <row r="97" spans="1:2">
      <c r="A97" s="209" t="s">
        <v>1360</v>
      </c>
      <c r="B97" s="210" t="s">
        <v>1361</v>
      </c>
    </row>
    <row r="98" spans="1:2">
      <c r="A98" s="209" t="s">
        <v>1362</v>
      </c>
      <c r="B98" s="210" t="s">
        <v>1363</v>
      </c>
    </row>
    <row r="99" spans="1:2">
      <c r="A99" s="209" t="s">
        <v>1364</v>
      </c>
      <c r="B99" s="210" t="s">
        <v>1365</v>
      </c>
    </row>
    <row r="100" spans="1:2">
      <c r="A100" s="209" t="s">
        <v>1366</v>
      </c>
      <c r="B100" s="210" t="s">
        <v>1367</v>
      </c>
    </row>
    <row r="101" spans="1:2">
      <c r="A101" s="209" t="s">
        <v>1368</v>
      </c>
      <c r="B101" s="210" t="s">
        <v>1369</v>
      </c>
    </row>
    <row r="102" spans="1:2">
      <c r="A102" s="209" t="s">
        <v>1370</v>
      </c>
      <c r="B102" s="210" t="s">
        <v>1371</v>
      </c>
    </row>
    <row r="103" spans="1:2">
      <c r="A103" s="209" t="s">
        <v>1372</v>
      </c>
      <c r="B103" s="210" t="s">
        <v>1373</v>
      </c>
    </row>
    <row r="104" spans="1:2">
      <c r="A104" s="209" t="s">
        <v>1374</v>
      </c>
      <c r="B104" s="210" t="s">
        <v>1375</v>
      </c>
    </row>
    <row r="105" spans="1:2">
      <c r="A105" s="209" t="s">
        <v>1376</v>
      </c>
      <c r="B105" s="210" t="s">
        <v>1377</v>
      </c>
    </row>
    <row r="106" spans="1:2">
      <c r="A106" s="209" t="s">
        <v>1378</v>
      </c>
      <c r="B106" s="210" t="s">
        <v>1379</v>
      </c>
    </row>
    <row r="107" spans="1:2">
      <c r="A107" s="209" t="s">
        <v>1380</v>
      </c>
      <c r="B107" s="210" t="s">
        <v>1381</v>
      </c>
    </row>
    <row r="108" spans="1:2">
      <c r="A108" s="209" t="s">
        <v>1382</v>
      </c>
      <c r="B108" s="210" t="s">
        <v>1383</v>
      </c>
    </row>
    <row r="109" spans="1:2">
      <c r="A109" s="209" t="s">
        <v>1384</v>
      </c>
      <c r="B109" s="210" t="s">
        <v>1385</v>
      </c>
    </row>
    <row r="110" spans="1:2">
      <c r="A110" s="209" t="s">
        <v>1386</v>
      </c>
      <c r="B110" s="210" t="s">
        <v>1387</v>
      </c>
    </row>
    <row r="111" spans="1:2">
      <c r="A111" s="209" t="s">
        <v>1388</v>
      </c>
      <c r="B111" s="210" t="s">
        <v>1389</v>
      </c>
    </row>
    <row r="112" spans="1:2">
      <c r="A112" s="209" t="s">
        <v>1390</v>
      </c>
      <c r="B112" s="210" t="s">
        <v>1391</v>
      </c>
    </row>
    <row r="113" spans="1:2">
      <c r="A113" s="209" t="s">
        <v>1392</v>
      </c>
      <c r="B113" s="210" t="s">
        <v>1393</v>
      </c>
    </row>
    <row r="114" spans="1:2">
      <c r="A114" s="209" t="s">
        <v>1394</v>
      </c>
      <c r="B114" s="210" t="s">
        <v>1395</v>
      </c>
    </row>
    <row r="115" spans="1:2">
      <c r="A115" s="209" t="s">
        <v>1396</v>
      </c>
      <c r="B115" s="210" t="s">
        <v>1397</v>
      </c>
    </row>
    <row r="116" spans="1:2">
      <c r="A116" s="209" t="s">
        <v>1398</v>
      </c>
      <c r="B116" s="210" t="s">
        <v>1399</v>
      </c>
    </row>
    <row r="117" spans="1:2">
      <c r="A117" s="209" t="s">
        <v>1400</v>
      </c>
      <c r="B117" s="210" t="s">
        <v>1401</v>
      </c>
    </row>
    <row r="118" spans="1:2">
      <c r="A118" s="209" t="s">
        <v>1402</v>
      </c>
      <c r="B118" s="210" t="s">
        <v>1403</v>
      </c>
    </row>
    <row r="119" spans="1:2">
      <c r="A119" s="209" t="s">
        <v>1404</v>
      </c>
      <c r="B119" s="210" t="s">
        <v>1405</v>
      </c>
    </row>
    <row r="120" spans="1:2">
      <c r="A120" s="209" t="s">
        <v>1406</v>
      </c>
      <c r="B120" s="210" t="s">
        <v>1407</v>
      </c>
    </row>
    <row r="121" spans="1:2">
      <c r="A121" s="209" t="s">
        <v>1408</v>
      </c>
      <c r="B121" s="210" t="s">
        <v>1409</v>
      </c>
    </row>
    <row r="122" spans="1:2">
      <c r="A122" s="209" t="s">
        <v>1410</v>
      </c>
      <c r="B122" s="210" t="s">
        <v>1411</v>
      </c>
    </row>
    <row r="123" spans="1:2">
      <c r="A123" s="209" t="s">
        <v>1412</v>
      </c>
      <c r="B123" s="210" t="s">
        <v>1413</v>
      </c>
    </row>
    <row r="124" spans="1:2">
      <c r="A124" s="209" t="s">
        <v>1414</v>
      </c>
      <c r="B124" s="210" t="s">
        <v>1415</v>
      </c>
    </row>
    <row r="125" spans="1:2">
      <c r="A125" s="209" t="s">
        <v>1416</v>
      </c>
      <c r="B125" s="210" t="s">
        <v>1417</v>
      </c>
    </row>
    <row r="126" spans="1:2">
      <c r="A126" s="209" t="s">
        <v>1418</v>
      </c>
      <c r="B126" s="210" t="s">
        <v>1419</v>
      </c>
    </row>
    <row r="127" spans="1:2">
      <c r="A127" s="209" t="s">
        <v>1420</v>
      </c>
      <c r="B127" s="210" t="s">
        <v>1421</v>
      </c>
    </row>
    <row r="128" spans="1:2">
      <c r="A128" s="209" t="s">
        <v>1422</v>
      </c>
      <c r="B128" s="210" t="s">
        <v>1423</v>
      </c>
    </row>
    <row r="129" spans="1:2">
      <c r="A129" s="209" t="s">
        <v>1424</v>
      </c>
      <c r="B129" s="210" t="s">
        <v>1425</v>
      </c>
    </row>
    <row r="130" spans="1:2">
      <c r="A130" s="209" t="s">
        <v>1426</v>
      </c>
      <c r="B130" s="210" t="s">
        <v>1427</v>
      </c>
    </row>
    <row r="131" spans="1:2">
      <c r="A131" s="209" t="s">
        <v>1428</v>
      </c>
      <c r="B131" s="210" t="s">
        <v>1429</v>
      </c>
    </row>
    <row r="132" spans="1:2">
      <c r="A132" s="209" t="s">
        <v>1430</v>
      </c>
      <c r="B132" s="210" t="s">
        <v>1431</v>
      </c>
    </row>
    <row r="133" spans="1:2">
      <c r="A133" s="209" t="s">
        <v>1432</v>
      </c>
      <c r="B133" s="210" t="s">
        <v>1433</v>
      </c>
    </row>
    <row r="134" spans="1:2">
      <c r="A134" s="209" t="s">
        <v>1434</v>
      </c>
      <c r="B134" s="210" t="s">
        <v>1435</v>
      </c>
    </row>
    <row r="135" spans="1:2">
      <c r="A135" s="209" t="s">
        <v>1436</v>
      </c>
      <c r="B135" s="210" t="s">
        <v>1437</v>
      </c>
    </row>
    <row r="136" spans="1:2">
      <c r="A136" s="209" t="s">
        <v>1438</v>
      </c>
      <c r="B136" s="210" t="s">
        <v>1439</v>
      </c>
    </row>
    <row r="137" spans="1:2">
      <c r="A137" s="208" t="s">
        <v>2292</v>
      </c>
      <c r="B137" s="211" t="s">
        <v>2293</v>
      </c>
    </row>
    <row r="138" spans="1:2">
      <c r="A138" s="209" t="s">
        <v>1440</v>
      </c>
      <c r="B138" s="210" t="s">
        <v>1441</v>
      </c>
    </row>
    <row r="139" spans="1:2">
      <c r="A139" s="209" t="s">
        <v>1442</v>
      </c>
      <c r="B139" s="210" t="s">
        <v>1443</v>
      </c>
    </row>
    <row r="140" spans="1:2">
      <c r="A140" s="209" t="s">
        <v>1444</v>
      </c>
      <c r="B140" s="210" t="s">
        <v>1445</v>
      </c>
    </row>
    <row r="141" spans="1:2">
      <c r="A141" s="209" t="s">
        <v>1446</v>
      </c>
      <c r="B141" s="210" t="s">
        <v>1447</v>
      </c>
    </row>
    <row r="142" spans="1:2">
      <c r="A142" s="209" t="s">
        <v>1448</v>
      </c>
      <c r="B142" s="210" t="s">
        <v>1449</v>
      </c>
    </row>
    <row r="143" spans="1:2">
      <c r="A143" s="209" t="s">
        <v>1450</v>
      </c>
      <c r="B143" s="210" t="s">
        <v>1451</v>
      </c>
    </row>
    <row r="144" spans="1:2">
      <c r="A144" s="209" t="s">
        <v>1452</v>
      </c>
      <c r="B144" s="210" t="s">
        <v>1453</v>
      </c>
    </row>
    <row r="145" spans="1:2">
      <c r="A145" s="209" t="s">
        <v>1454</v>
      </c>
      <c r="B145" s="210" t="s">
        <v>1455</v>
      </c>
    </row>
    <row r="146" spans="1:2">
      <c r="A146" s="209" t="s">
        <v>1456</v>
      </c>
      <c r="B146" s="210" t="s">
        <v>1457</v>
      </c>
    </row>
    <row r="147" spans="1:2">
      <c r="A147" s="209" t="s">
        <v>1458</v>
      </c>
      <c r="B147" s="210" t="s">
        <v>1459</v>
      </c>
    </row>
    <row r="148" spans="1:2">
      <c r="A148" s="209" t="s">
        <v>1460</v>
      </c>
      <c r="B148" s="210" t="s">
        <v>1461</v>
      </c>
    </row>
    <row r="149" spans="1:2">
      <c r="A149" s="209" t="s">
        <v>1462</v>
      </c>
      <c r="B149" s="210" t="s">
        <v>1463</v>
      </c>
    </row>
    <row r="150" spans="1:2">
      <c r="A150" s="209" t="s">
        <v>1464</v>
      </c>
      <c r="B150" s="210" t="s">
        <v>1465</v>
      </c>
    </row>
    <row r="151" spans="1:2">
      <c r="A151" s="208" t="s">
        <v>2294</v>
      </c>
      <c r="B151" s="211" t="s">
        <v>2295</v>
      </c>
    </row>
    <row r="152" spans="1:2">
      <c r="A152" s="209" t="s">
        <v>1466</v>
      </c>
      <c r="B152" s="210" t="s">
        <v>1467</v>
      </c>
    </row>
    <row r="153" spans="1:2">
      <c r="A153" s="209" t="s">
        <v>1468</v>
      </c>
      <c r="B153" s="210" t="s">
        <v>1469</v>
      </c>
    </row>
    <row r="154" spans="1:2">
      <c r="A154" s="209" t="s">
        <v>1470</v>
      </c>
      <c r="B154" s="210" t="s">
        <v>1471</v>
      </c>
    </row>
    <row r="155" spans="1:2">
      <c r="A155" s="209" t="s">
        <v>1472</v>
      </c>
      <c r="B155" s="210" t="s">
        <v>1473</v>
      </c>
    </row>
    <row r="156" spans="1:2">
      <c r="A156" s="209" t="s">
        <v>1474</v>
      </c>
      <c r="B156" s="210" t="s">
        <v>1475</v>
      </c>
    </row>
    <row r="157" spans="1:2">
      <c r="A157" s="209" t="s">
        <v>1476</v>
      </c>
      <c r="B157" s="210" t="s">
        <v>1477</v>
      </c>
    </row>
    <row r="158" spans="1:2">
      <c r="A158" s="209" t="s">
        <v>1478</v>
      </c>
      <c r="B158" s="210" t="s">
        <v>1479</v>
      </c>
    </row>
    <row r="159" spans="1:2">
      <c r="A159" s="209" t="s">
        <v>1480</v>
      </c>
      <c r="B159" s="210" t="s">
        <v>1481</v>
      </c>
    </row>
    <row r="160" spans="1:2">
      <c r="A160" s="209" t="s">
        <v>1482</v>
      </c>
      <c r="B160" s="210" t="s">
        <v>1483</v>
      </c>
    </row>
    <row r="161" spans="1:2">
      <c r="A161" s="209" t="s">
        <v>1484</v>
      </c>
      <c r="B161" s="210" t="s">
        <v>1485</v>
      </c>
    </row>
    <row r="162" spans="1:2">
      <c r="A162" s="208" t="s">
        <v>2296</v>
      </c>
      <c r="B162" s="211" t="s">
        <v>2297</v>
      </c>
    </row>
    <row r="163" spans="1:2">
      <c r="A163" s="209" t="s">
        <v>1486</v>
      </c>
      <c r="B163" s="210" t="s">
        <v>1487</v>
      </c>
    </row>
    <row r="164" spans="1:2">
      <c r="A164" s="209" t="s">
        <v>1488</v>
      </c>
      <c r="B164" s="210" t="s">
        <v>1489</v>
      </c>
    </row>
    <row r="165" spans="1:2">
      <c r="A165" s="209" t="s">
        <v>1490</v>
      </c>
      <c r="B165" s="210" t="s">
        <v>1491</v>
      </c>
    </row>
    <row r="166" spans="1:2">
      <c r="A166" s="208" t="s">
        <v>2298</v>
      </c>
      <c r="B166" s="211" t="s">
        <v>2299</v>
      </c>
    </row>
    <row r="167" spans="1:2">
      <c r="A167" s="209" t="s">
        <v>1492</v>
      </c>
      <c r="B167" s="210" t="s">
        <v>1493</v>
      </c>
    </row>
    <row r="168" spans="1:2">
      <c r="A168" s="209" t="s">
        <v>1494</v>
      </c>
      <c r="B168" s="210" t="s">
        <v>1495</v>
      </c>
    </row>
    <row r="169" spans="1:2">
      <c r="A169" s="209" t="s">
        <v>1496</v>
      </c>
      <c r="B169" s="210" t="s">
        <v>1497</v>
      </c>
    </row>
    <row r="170" spans="1:2">
      <c r="A170" s="209" t="s">
        <v>1498</v>
      </c>
      <c r="B170" s="210" t="s">
        <v>1499</v>
      </c>
    </row>
    <row r="171" spans="1:2">
      <c r="A171" s="209" t="s">
        <v>1500</v>
      </c>
      <c r="B171" s="210" t="s">
        <v>1501</v>
      </c>
    </row>
    <row r="172" spans="1:2">
      <c r="A172" s="209" t="s">
        <v>1502</v>
      </c>
      <c r="B172" s="210" t="s">
        <v>1503</v>
      </c>
    </row>
    <row r="173" spans="1:2">
      <c r="A173" s="209" t="s">
        <v>1504</v>
      </c>
      <c r="B173" s="210" t="s">
        <v>1505</v>
      </c>
    </row>
    <row r="174" spans="1:2">
      <c r="A174" s="209" t="s">
        <v>1506</v>
      </c>
      <c r="B174" s="210" t="s">
        <v>1507</v>
      </c>
    </row>
    <row r="175" spans="1:2">
      <c r="A175" s="209" t="s">
        <v>1508</v>
      </c>
      <c r="B175" s="210" t="s">
        <v>1509</v>
      </c>
    </row>
    <row r="176" spans="1:2">
      <c r="A176" s="209" t="s">
        <v>1510</v>
      </c>
      <c r="B176" s="210" t="s">
        <v>1511</v>
      </c>
    </row>
    <row r="177" spans="1:2">
      <c r="A177" s="209" t="s">
        <v>1512</v>
      </c>
      <c r="B177" s="210" t="s">
        <v>1513</v>
      </c>
    </row>
    <row r="178" spans="1:2" ht="22.5">
      <c r="A178" s="209" t="s">
        <v>1514</v>
      </c>
      <c r="B178" s="210" t="s">
        <v>1515</v>
      </c>
    </row>
    <row r="179" spans="1:2">
      <c r="A179" s="209" t="s">
        <v>1516</v>
      </c>
      <c r="B179" s="210" t="s">
        <v>1517</v>
      </c>
    </row>
    <row r="180" spans="1:2">
      <c r="A180" s="209" t="s">
        <v>1518</v>
      </c>
      <c r="B180" s="210" t="s">
        <v>1519</v>
      </c>
    </row>
    <row r="181" spans="1:2">
      <c r="A181" s="209" t="s">
        <v>1520</v>
      </c>
      <c r="B181" s="210" t="s">
        <v>1521</v>
      </c>
    </row>
    <row r="182" spans="1:2">
      <c r="A182" s="209" t="s">
        <v>1522</v>
      </c>
      <c r="B182" s="210" t="s">
        <v>1523</v>
      </c>
    </row>
    <row r="183" spans="1:2">
      <c r="A183" s="209" t="s">
        <v>1524</v>
      </c>
      <c r="B183" s="210" t="s">
        <v>1525</v>
      </c>
    </row>
    <row r="184" spans="1:2">
      <c r="A184" s="209" t="s">
        <v>1526</v>
      </c>
      <c r="B184" s="210" t="s">
        <v>1527</v>
      </c>
    </row>
    <row r="185" spans="1:2">
      <c r="A185" s="209" t="s">
        <v>1528</v>
      </c>
      <c r="B185" s="210" t="s">
        <v>1529</v>
      </c>
    </row>
    <row r="186" spans="1:2">
      <c r="A186" s="209" t="s">
        <v>1530</v>
      </c>
      <c r="B186" s="210" t="s">
        <v>1531</v>
      </c>
    </row>
    <row r="187" spans="1:2">
      <c r="A187" s="209" t="s">
        <v>1532</v>
      </c>
      <c r="B187" s="210" t="s">
        <v>1533</v>
      </c>
    </row>
    <row r="188" spans="1:2">
      <c r="A188" s="209" t="s">
        <v>1534</v>
      </c>
      <c r="B188" s="210" t="s">
        <v>1535</v>
      </c>
    </row>
    <row r="189" spans="1:2">
      <c r="A189" s="209" t="s">
        <v>1536</v>
      </c>
      <c r="B189" s="210" t="s">
        <v>1537</v>
      </c>
    </row>
    <row r="190" spans="1:2">
      <c r="A190" s="209" t="s">
        <v>1538</v>
      </c>
      <c r="B190" s="210" t="s">
        <v>1539</v>
      </c>
    </row>
    <row r="191" spans="1:2">
      <c r="A191" s="209" t="s">
        <v>1540</v>
      </c>
      <c r="B191" s="210" t="s">
        <v>1541</v>
      </c>
    </row>
    <row r="192" spans="1:2">
      <c r="A192" s="209" t="s">
        <v>1542</v>
      </c>
      <c r="B192" s="210" t="s">
        <v>1543</v>
      </c>
    </row>
    <row r="193" spans="1:2">
      <c r="A193" s="209" t="s">
        <v>1544</v>
      </c>
      <c r="B193" s="210" t="s">
        <v>1545</v>
      </c>
    </row>
    <row r="194" spans="1:2">
      <c r="A194" s="209" t="s">
        <v>1546</v>
      </c>
      <c r="B194" s="210" t="s">
        <v>1547</v>
      </c>
    </row>
    <row r="195" spans="1:2">
      <c r="A195" s="209" t="s">
        <v>1548</v>
      </c>
      <c r="B195" s="210" t="s">
        <v>1547</v>
      </c>
    </row>
    <row r="196" spans="1:2">
      <c r="A196" s="209" t="s">
        <v>1549</v>
      </c>
      <c r="B196" s="210" t="s">
        <v>1550</v>
      </c>
    </row>
    <row r="197" spans="1:2">
      <c r="A197" s="209" t="s">
        <v>1551</v>
      </c>
      <c r="B197" s="210" t="s">
        <v>1552</v>
      </c>
    </row>
    <row r="198" spans="1:2">
      <c r="A198" s="209" t="s">
        <v>1553</v>
      </c>
      <c r="B198" s="210" t="s">
        <v>1550</v>
      </c>
    </row>
    <row r="199" spans="1:2">
      <c r="A199" s="209" t="s">
        <v>1554</v>
      </c>
      <c r="B199" s="210"/>
    </row>
    <row r="200" spans="1:2">
      <c r="A200" s="209" t="s">
        <v>1555</v>
      </c>
      <c r="B200" s="210" t="s">
        <v>1556</v>
      </c>
    </row>
    <row r="201" spans="1:2">
      <c r="A201" s="209" t="s">
        <v>1557</v>
      </c>
      <c r="B201" s="210" t="s">
        <v>1558</v>
      </c>
    </row>
    <row r="202" spans="1:2">
      <c r="A202" s="209" t="s">
        <v>1559</v>
      </c>
      <c r="B202" s="210" t="s">
        <v>1560</v>
      </c>
    </row>
    <row r="203" spans="1:2" ht="22.5">
      <c r="A203" s="209" t="s">
        <v>1561</v>
      </c>
      <c r="B203" s="210" t="s">
        <v>1562</v>
      </c>
    </row>
    <row r="204" spans="1:2">
      <c r="A204" s="209" t="s">
        <v>1563</v>
      </c>
      <c r="B204" s="210" t="s">
        <v>1564</v>
      </c>
    </row>
    <row r="205" spans="1:2">
      <c r="A205" s="209" t="s">
        <v>1565</v>
      </c>
      <c r="B205" s="210" t="s">
        <v>1566</v>
      </c>
    </row>
    <row r="206" spans="1:2">
      <c r="A206" s="209" t="s">
        <v>1567</v>
      </c>
      <c r="B206" s="210" t="s">
        <v>1568</v>
      </c>
    </row>
    <row r="207" spans="1:2">
      <c r="A207" s="209" t="s">
        <v>1569</v>
      </c>
      <c r="B207" s="210" t="s">
        <v>1570</v>
      </c>
    </row>
    <row r="208" spans="1:2">
      <c r="A208" s="209" t="s">
        <v>1571</v>
      </c>
      <c r="B208" s="210" t="s">
        <v>1572</v>
      </c>
    </row>
    <row r="209" spans="1:2">
      <c r="A209" s="209" t="s">
        <v>1573</v>
      </c>
      <c r="B209" s="210" t="s">
        <v>1574</v>
      </c>
    </row>
    <row r="210" spans="1:2">
      <c r="A210" s="209" t="s">
        <v>1575</v>
      </c>
      <c r="B210" s="210" t="s">
        <v>1576</v>
      </c>
    </row>
    <row r="211" spans="1:2">
      <c r="A211" s="209" t="s">
        <v>1577</v>
      </c>
      <c r="B211" s="210" t="s">
        <v>1578</v>
      </c>
    </row>
    <row r="212" spans="1:2">
      <c r="A212" s="209" t="s">
        <v>1579</v>
      </c>
      <c r="B212" s="210" t="s">
        <v>1580</v>
      </c>
    </row>
    <row r="213" spans="1:2">
      <c r="A213" s="209" t="s">
        <v>1581</v>
      </c>
      <c r="B213" s="210" t="s">
        <v>1582</v>
      </c>
    </row>
    <row r="214" spans="1:2">
      <c r="A214" s="209" t="s">
        <v>1583</v>
      </c>
      <c r="B214" s="210" t="s">
        <v>1584</v>
      </c>
    </row>
    <row r="215" spans="1:2">
      <c r="A215" s="209" t="s">
        <v>1585</v>
      </c>
      <c r="B215" s="210" t="s">
        <v>1586</v>
      </c>
    </row>
    <row r="216" spans="1:2">
      <c r="A216" s="209" t="s">
        <v>1587</v>
      </c>
      <c r="B216" s="210" t="s">
        <v>1588</v>
      </c>
    </row>
    <row r="217" spans="1:2">
      <c r="A217" s="209" t="s">
        <v>1589</v>
      </c>
      <c r="B217" s="210" t="s">
        <v>1590</v>
      </c>
    </row>
    <row r="218" spans="1:2">
      <c r="A218" s="209" t="s">
        <v>1591</v>
      </c>
      <c r="B218" s="210" t="s">
        <v>1592</v>
      </c>
    </row>
    <row r="219" spans="1:2">
      <c r="A219" s="209" t="s">
        <v>1593</v>
      </c>
      <c r="B219" s="210" t="s">
        <v>1594</v>
      </c>
    </row>
    <row r="220" spans="1:2">
      <c r="A220" s="209" t="s">
        <v>1595</v>
      </c>
      <c r="B220" s="210" t="s">
        <v>1596</v>
      </c>
    </row>
    <row r="221" spans="1:2">
      <c r="A221" s="209" t="s">
        <v>1597</v>
      </c>
      <c r="B221" s="210" t="s">
        <v>1598</v>
      </c>
    </row>
    <row r="222" spans="1:2">
      <c r="A222" s="209" t="s">
        <v>1599</v>
      </c>
      <c r="B222" s="210" t="s">
        <v>1600</v>
      </c>
    </row>
    <row r="223" spans="1:2">
      <c r="A223" s="209" t="s">
        <v>1601</v>
      </c>
      <c r="B223" s="210" t="s">
        <v>1602</v>
      </c>
    </row>
    <row r="224" spans="1:2">
      <c r="A224" s="209" t="s">
        <v>1603</v>
      </c>
      <c r="B224" s="210" t="s">
        <v>1604</v>
      </c>
    </row>
    <row r="225" spans="1:2">
      <c r="A225" s="209" t="s">
        <v>1605</v>
      </c>
      <c r="B225" s="210" t="s">
        <v>1606</v>
      </c>
    </row>
    <row r="226" spans="1:2">
      <c r="A226" s="209" t="s">
        <v>1607</v>
      </c>
      <c r="B226" s="210" t="s">
        <v>1608</v>
      </c>
    </row>
    <row r="227" spans="1:2">
      <c r="A227" s="209" t="s">
        <v>1609</v>
      </c>
      <c r="B227" s="210" t="s">
        <v>1610</v>
      </c>
    </row>
    <row r="228" spans="1:2">
      <c r="A228" s="209" t="s">
        <v>1611</v>
      </c>
      <c r="B228" s="210" t="s">
        <v>1612</v>
      </c>
    </row>
    <row r="229" spans="1:2">
      <c r="A229" s="209" t="s">
        <v>1613</v>
      </c>
      <c r="B229" s="210" t="s">
        <v>1614</v>
      </c>
    </row>
    <row r="230" spans="1:2">
      <c r="A230" s="209" t="s">
        <v>1615</v>
      </c>
      <c r="B230" s="210" t="s">
        <v>1616</v>
      </c>
    </row>
    <row r="231" spans="1:2">
      <c r="A231" s="208" t="s">
        <v>2300</v>
      </c>
      <c r="B231" s="211" t="s">
        <v>2301</v>
      </c>
    </row>
    <row r="232" spans="1:2">
      <c r="A232" s="209" t="s">
        <v>1617</v>
      </c>
      <c r="B232" s="210" t="s">
        <v>1618</v>
      </c>
    </row>
    <row r="233" spans="1:2">
      <c r="A233" s="209" t="s">
        <v>1619</v>
      </c>
      <c r="B233" s="210" t="s">
        <v>1620</v>
      </c>
    </row>
    <row r="234" spans="1:2">
      <c r="A234" s="209" t="s">
        <v>1621</v>
      </c>
      <c r="B234" s="210" t="s">
        <v>1622</v>
      </c>
    </row>
    <row r="235" spans="1:2">
      <c r="A235" s="209" t="s">
        <v>1623</v>
      </c>
      <c r="B235" s="210" t="s">
        <v>1624</v>
      </c>
    </row>
    <row r="236" spans="1:2">
      <c r="A236" s="209" t="s">
        <v>1625</v>
      </c>
      <c r="B236" s="210" t="s">
        <v>1626</v>
      </c>
    </row>
    <row r="237" spans="1:2">
      <c r="A237" s="209" t="s">
        <v>1627</v>
      </c>
      <c r="B237" s="210" t="s">
        <v>1628</v>
      </c>
    </row>
    <row r="238" spans="1:2">
      <c r="A238" s="209" t="s">
        <v>1629</v>
      </c>
      <c r="B238" s="210" t="s">
        <v>1630</v>
      </c>
    </row>
    <row r="239" spans="1:2">
      <c r="A239" s="209" t="s">
        <v>1631</v>
      </c>
      <c r="B239" s="210" t="s">
        <v>1632</v>
      </c>
    </row>
    <row r="240" spans="1:2">
      <c r="A240" s="209" t="s">
        <v>1633</v>
      </c>
      <c r="B240" s="210" t="s">
        <v>1634</v>
      </c>
    </row>
    <row r="241" spans="1:2">
      <c r="A241" s="209" t="s">
        <v>1635</v>
      </c>
      <c r="B241" s="210" t="s">
        <v>1636</v>
      </c>
    </row>
    <row r="242" spans="1:2">
      <c r="A242" s="209" t="s">
        <v>1637</v>
      </c>
      <c r="B242" s="210" t="s">
        <v>1638</v>
      </c>
    </row>
    <row r="243" spans="1:2">
      <c r="A243" s="209" t="s">
        <v>1639</v>
      </c>
      <c r="B243" s="210" t="s">
        <v>1640</v>
      </c>
    </row>
    <row r="244" spans="1:2">
      <c r="A244" s="209" t="s">
        <v>1641</v>
      </c>
      <c r="B244" s="210" t="s">
        <v>1642</v>
      </c>
    </row>
    <row r="245" spans="1:2">
      <c r="A245" s="209" t="s">
        <v>1643</v>
      </c>
      <c r="B245" s="210" t="s">
        <v>1644</v>
      </c>
    </row>
    <row r="246" spans="1:2">
      <c r="A246" s="209" t="s">
        <v>1645</v>
      </c>
      <c r="B246" s="210" t="s">
        <v>1646</v>
      </c>
    </row>
    <row r="247" spans="1:2">
      <c r="A247" s="209" t="s">
        <v>1647</v>
      </c>
      <c r="B247" s="210" t="s">
        <v>1648</v>
      </c>
    </row>
    <row r="248" spans="1:2">
      <c r="A248" s="209" t="s">
        <v>1649</v>
      </c>
      <c r="B248" s="210" t="s">
        <v>1650</v>
      </c>
    </row>
    <row r="249" spans="1:2">
      <c r="A249" s="209" t="s">
        <v>1651</v>
      </c>
      <c r="B249" s="210" t="s">
        <v>1652</v>
      </c>
    </row>
    <row r="250" spans="1:2">
      <c r="A250" s="209" t="s">
        <v>1653</v>
      </c>
      <c r="B250" s="210" t="s">
        <v>1654</v>
      </c>
    </row>
    <row r="251" spans="1:2">
      <c r="A251" s="209" t="s">
        <v>1655</v>
      </c>
      <c r="B251" s="210" t="s">
        <v>1656</v>
      </c>
    </row>
    <row r="252" spans="1:2">
      <c r="A252" s="209" t="s">
        <v>1657</v>
      </c>
      <c r="B252" s="210" t="s">
        <v>1658</v>
      </c>
    </row>
    <row r="253" spans="1:2">
      <c r="A253" s="209" t="s">
        <v>1659</v>
      </c>
      <c r="B253" s="210" t="s">
        <v>1660</v>
      </c>
    </row>
    <row r="254" spans="1:2">
      <c r="A254" s="209" t="s">
        <v>1661</v>
      </c>
      <c r="B254" s="210" t="s">
        <v>1662</v>
      </c>
    </row>
    <row r="255" spans="1:2">
      <c r="A255" s="209" t="s">
        <v>1663</v>
      </c>
      <c r="B255" s="210" t="s">
        <v>1664</v>
      </c>
    </row>
    <row r="256" spans="1:2">
      <c r="A256" s="209" t="s">
        <v>1665</v>
      </c>
      <c r="B256" s="210" t="s">
        <v>1666</v>
      </c>
    </row>
    <row r="257" spans="1:2">
      <c r="A257" s="209" t="s">
        <v>1667</v>
      </c>
      <c r="B257" s="210" t="s">
        <v>1668</v>
      </c>
    </row>
    <row r="258" spans="1:2">
      <c r="A258" s="209" t="s">
        <v>1669</v>
      </c>
      <c r="B258" s="210" t="s">
        <v>1670</v>
      </c>
    </row>
    <row r="259" spans="1:2">
      <c r="A259" s="209" t="s">
        <v>1671</v>
      </c>
      <c r="B259" s="210" t="s">
        <v>1672</v>
      </c>
    </row>
    <row r="260" spans="1:2">
      <c r="A260" s="209" t="s">
        <v>1673</v>
      </c>
      <c r="B260" s="210" t="s">
        <v>1674</v>
      </c>
    </row>
    <row r="261" spans="1:2">
      <c r="A261" s="209" t="s">
        <v>1675</v>
      </c>
      <c r="B261" s="210" t="s">
        <v>1676</v>
      </c>
    </row>
    <row r="262" spans="1:2">
      <c r="A262" s="209" t="s">
        <v>1677</v>
      </c>
      <c r="B262" s="210" t="s">
        <v>1678</v>
      </c>
    </row>
    <row r="263" spans="1:2">
      <c r="A263" s="209" t="s">
        <v>1679</v>
      </c>
      <c r="B263" s="210" t="s">
        <v>1680</v>
      </c>
    </row>
    <row r="264" spans="1:2">
      <c r="A264" s="209" t="s">
        <v>1681</v>
      </c>
      <c r="B264" s="210" t="s">
        <v>1682</v>
      </c>
    </row>
    <row r="265" spans="1:2">
      <c r="A265" s="209" t="s">
        <v>1683</v>
      </c>
      <c r="B265" s="210" t="s">
        <v>1684</v>
      </c>
    </row>
    <row r="266" spans="1:2">
      <c r="A266" s="209" t="s">
        <v>1685</v>
      </c>
      <c r="B266" s="210" t="s">
        <v>1686</v>
      </c>
    </row>
    <row r="267" spans="1:2">
      <c r="A267" s="209" t="s">
        <v>1687</v>
      </c>
      <c r="B267" s="210" t="s">
        <v>1688</v>
      </c>
    </row>
    <row r="268" spans="1:2">
      <c r="A268" s="209" t="s">
        <v>1689</v>
      </c>
      <c r="B268" s="210" t="s">
        <v>1690</v>
      </c>
    </row>
    <row r="269" spans="1:2">
      <c r="A269" s="209" t="s">
        <v>1691</v>
      </c>
      <c r="B269" s="210" t="s">
        <v>1692</v>
      </c>
    </row>
    <row r="270" spans="1:2">
      <c r="A270" s="209" t="s">
        <v>1693</v>
      </c>
      <c r="B270" s="210" t="s">
        <v>1694</v>
      </c>
    </row>
    <row r="271" spans="1:2">
      <c r="A271" s="209" t="s">
        <v>1695</v>
      </c>
      <c r="B271" s="210" t="s">
        <v>1696</v>
      </c>
    </row>
    <row r="272" spans="1:2">
      <c r="A272" s="209" t="s">
        <v>1697</v>
      </c>
      <c r="B272" s="210" t="s">
        <v>1698</v>
      </c>
    </row>
    <row r="273" spans="1:2">
      <c r="A273" s="209" t="s">
        <v>1699</v>
      </c>
      <c r="B273" s="210" t="s">
        <v>1700</v>
      </c>
    </row>
    <row r="274" spans="1:2">
      <c r="A274" s="209" t="s">
        <v>1701</v>
      </c>
      <c r="B274" s="210" t="s">
        <v>1702</v>
      </c>
    </row>
    <row r="275" spans="1:2">
      <c r="A275" s="209" t="s">
        <v>1703</v>
      </c>
      <c r="B275" s="210" t="s">
        <v>1704</v>
      </c>
    </row>
    <row r="276" spans="1:2">
      <c r="A276" s="209" t="s">
        <v>1705</v>
      </c>
      <c r="B276" s="210" t="s">
        <v>1706</v>
      </c>
    </row>
    <row r="277" spans="1:2">
      <c r="A277" s="209" t="s">
        <v>1707</v>
      </c>
      <c r="B277" s="210" t="s">
        <v>1708</v>
      </c>
    </row>
    <row r="278" spans="1:2">
      <c r="A278" s="209" t="s">
        <v>1709</v>
      </c>
      <c r="B278" s="210" t="s">
        <v>1710</v>
      </c>
    </row>
    <row r="279" spans="1:2">
      <c r="A279" s="209" t="s">
        <v>1711</v>
      </c>
      <c r="B279" s="210" t="s">
        <v>1712</v>
      </c>
    </row>
    <row r="280" spans="1:2">
      <c r="A280" s="209" t="s">
        <v>1713</v>
      </c>
      <c r="B280" s="210" t="s">
        <v>1714</v>
      </c>
    </row>
    <row r="281" spans="1:2">
      <c r="A281" s="209" t="s">
        <v>1715</v>
      </c>
      <c r="B281" s="210" t="s">
        <v>1716</v>
      </c>
    </row>
    <row r="282" spans="1:2">
      <c r="A282" s="209" t="s">
        <v>1717</v>
      </c>
      <c r="B282" s="210" t="s">
        <v>1718</v>
      </c>
    </row>
    <row r="283" spans="1:2">
      <c r="A283" s="209" t="s">
        <v>1719</v>
      </c>
      <c r="B283" s="210" t="s">
        <v>1720</v>
      </c>
    </row>
    <row r="284" spans="1:2">
      <c r="A284" s="209" t="s">
        <v>1721</v>
      </c>
      <c r="B284" s="210" t="s">
        <v>1722</v>
      </c>
    </row>
    <row r="285" spans="1:2">
      <c r="A285" s="209" t="s">
        <v>1723</v>
      </c>
      <c r="B285" s="210" t="s">
        <v>1724</v>
      </c>
    </row>
    <row r="286" spans="1:2">
      <c r="A286" s="209" t="s">
        <v>1725</v>
      </c>
      <c r="B286" s="210" t="s">
        <v>1726</v>
      </c>
    </row>
    <row r="287" spans="1:2">
      <c r="A287" s="209" t="s">
        <v>1727</v>
      </c>
      <c r="B287" s="210" t="s">
        <v>1728</v>
      </c>
    </row>
    <row r="288" spans="1:2">
      <c r="A288" s="209" t="s">
        <v>1729</v>
      </c>
      <c r="B288" s="210" t="s">
        <v>1730</v>
      </c>
    </row>
    <row r="289" spans="1:2">
      <c r="A289" s="209" t="s">
        <v>1731</v>
      </c>
      <c r="B289" s="210" t="s">
        <v>1732</v>
      </c>
    </row>
    <row r="290" spans="1:2">
      <c r="A290" s="209" t="s">
        <v>1733</v>
      </c>
      <c r="B290" s="210" t="s">
        <v>1734</v>
      </c>
    </row>
    <row r="291" spans="1:2">
      <c r="A291" s="209" t="s">
        <v>1735</v>
      </c>
      <c r="B291" s="210" t="s">
        <v>1736</v>
      </c>
    </row>
    <row r="292" spans="1:2">
      <c r="A292" s="209" t="s">
        <v>1737</v>
      </c>
      <c r="B292" s="210" t="s">
        <v>1738</v>
      </c>
    </row>
    <row r="293" spans="1:2">
      <c r="A293" s="209" t="s">
        <v>1739</v>
      </c>
      <c r="B293" s="210" t="s">
        <v>1740</v>
      </c>
    </row>
    <row r="294" spans="1:2">
      <c r="A294" s="209" t="s">
        <v>1741</v>
      </c>
      <c r="B294" s="210" t="s">
        <v>1742</v>
      </c>
    </row>
    <row r="295" spans="1:2">
      <c r="A295" s="209" t="s">
        <v>1743</v>
      </c>
      <c r="B295" s="210" t="s">
        <v>1744</v>
      </c>
    </row>
    <row r="296" spans="1:2">
      <c r="A296" s="209" t="s">
        <v>1745</v>
      </c>
      <c r="B296" s="210" t="s">
        <v>1746</v>
      </c>
    </row>
    <row r="297" spans="1:2">
      <c r="A297" s="209" t="s">
        <v>1747</v>
      </c>
      <c r="B297" s="210" t="s">
        <v>1748</v>
      </c>
    </row>
    <row r="298" spans="1:2">
      <c r="A298" s="209" t="s">
        <v>1749</v>
      </c>
      <c r="B298" s="210" t="s">
        <v>1750</v>
      </c>
    </row>
    <row r="299" spans="1:2">
      <c r="A299" s="209" t="s">
        <v>1751</v>
      </c>
      <c r="B299" s="210" t="s">
        <v>1752</v>
      </c>
    </row>
    <row r="300" spans="1:2">
      <c r="A300" s="209" t="s">
        <v>1753</v>
      </c>
      <c r="B300" s="210" t="s">
        <v>1754</v>
      </c>
    </row>
    <row r="301" spans="1:2">
      <c r="A301" s="209" t="s">
        <v>1755</v>
      </c>
      <c r="B301" s="210" t="s">
        <v>1756</v>
      </c>
    </row>
    <row r="302" spans="1:2">
      <c r="A302" s="209" t="s">
        <v>1757</v>
      </c>
      <c r="B302" s="210" t="s">
        <v>1758</v>
      </c>
    </row>
    <row r="303" spans="1:2">
      <c r="A303" s="209" t="s">
        <v>1759</v>
      </c>
      <c r="B303" s="210" t="s">
        <v>1760</v>
      </c>
    </row>
    <row r="304" spans="1:2">
      <c r="A304" s="209" t="s">
        <v>1761</v>
      </c>
      <c r="B304" s="210" t="s">
        <v>1762</v>
      </c>
    </row>
    <row r="305" spans="1:2">
      <c r="A305" s="209" t="s">
        <v>1763</v>
      </c>
      <c r="B305" s="210" t="s">
        <v>1764</v>
      </c>
    </row>
    <row r="306" spans="1:2">
      <c r="A306" s="209" t="s">
        <v>1765</v>
      </c>
      <c r="B306" s="210" t="s">
        <v>1766</v>
      </c>
    </row>
    <row r="307" spans="1:2">
      <c r="A307" s="209" t="s">
        <v>1767</v>
      </c>
      <c r="B307" s="210" t="s">
        <v>1768</v>
      </c>
    </row>
    <row r="308" spans="1:2">
      <c r="A308" s="209" t="s">
        <v>1769</v>
      </c>
      <c r="B308" s="210" t="s">
        <v>1770</v>
      </c>
    </row>
    <row r="309" spans="1:2">
      <c r="A309" s="209" t="s">
        <v>1771</v>
      </c>
      <c r="B309" s="210" t="s">
        <v>1772</v>
      </c>
    </row>
    <row r="310" spans="1:2">
      <c r="A310" s="209" t="s">
        <v>1773</v>
      </c>
      <c r="B310" s="210" t="s">
        <v>1774</v>
      </c>
    </row>
    <row r="311" spans="1:2">
      <c r="A311" s="209" t="s">
        <v>1775</v>
      </c>
      <c r="B311" s="210" t="s">
        <v>1776</v>
      </c>
    </row>
    <row r="312" spans="1:2">
      <c r="A312" s="209" t="s">
        <v>1777</v>
      </c>
      <c r="B312" s="210" t="s">
        <v>1778</v>
      </c>
    </row>
    <row r="313" spans="1:2">
      <c r="A313" s="209" t="s">
        <v>1779</v>
      </c>
      <c r="B313" s="210" t="s">
        <v>1780</v>
      </c>
    </row>
    <row r="314" spans="1:2">
      <c r="A314" s="209" t="s">
        <v>1781</v>
      </c>
      <c r="B314" s="210" t="s">
        <v>1782</v>
      </c>
    </row>
    <row r="315" spans="1:2">
      <c r="A315" s="209" t="s">
        <v>1783</v>
      </c>
      <c r="B315" s="210" t="s">
        <v>1784</v>
      </c>
    </row>
    <row r="316" spans="1:2">
      <c r="A316" s="209" t="s">
        <v>1785</v>
      </c>
      <c r="B316" s="210" t="s">
        <v>1786</v>
      </c>
    </row>
    <row r="317" spans="1:2">
      <c r="A317" s="209" t="s">
        <v>1787</v>
      </c>
      <c r="B317" s="210" t="s">
        <v>1788</v>
      </c>
    </row>
    <row r="318" spans="1:2">
      <c r="A318" s="209" t="s">
        <v>1789</v>
      </c>
      <c r="B318" s="210" t="s">
        <v>1790</v>
      </c>
    </row>
    <row r="319" spans="1:2">
      <c r="A319" s="209" t="s">
        <v>1791</v>
      </c>
      <c r="B319" s="210" t="s">
        <v>1792</v>
      </c>
    </row>
    <row r="320" spans="1:2">
      <c r="A320" s="209" t="s">
        <v>1793</v>
      </c>
      <c r="B320" s="210" t="s">
        <v>1794</v>
      </c>
    </row>
    <row r="321" spans="1:2">
      <c r="A321" s="209" t="s">
        <v>1795</v>
      </c>
      <c r="B321" s="210" t="s">
        <v>1796</v>
      </c>
    </row>
    <row r="322" spans="1:2">
      <c r="A322" s="209" t="s">
        <v>1797</v>
      </c>
      <c r="B322" s="210" t="s">
        <v>1798</v>
      </c>
    </row>
    <row r="323" spans="1:2">
      <c r="A323" s="209" t="s">
        <v>1799</v>
      </c>
      <c r="B323" s="210" t="s">
        <v>1800</v>
      </c>
    </row>
    <row r="324" spans="1:2">
      <c r="A324" s="209" t="s">
        <v>1801</v>
      </c>
      <c r="B324" s="210" t="s">
        <v>1802</v>
      </c>
    </row>
    <row r="325" spans="1:2">
      <c r="A325" s="209" t="s">
        <v>1803</v>
      </c>
      <c r="B325" s="210" t="s">
        <v>1804</v>
      </c>
    </row>
    <row r="326" spans="1:2">
      <c r="A326" s="209" t="s">
        <v>1805</v>
      </c>
      <c r="B326" s="210" t="s">
        <v>1806</v>
      </c>
    </row>
    <row r="327" spans="1:2">
      <c r="A327" s="209" t="s">
        <v>1807</v>
      </c>
      <c r="B327" s="210" t="s">
        <v>1808</v>
      </c>
    </row>
    <row r="328" spans="1:2">
      <c r="A328" s="209" t="s">
        <v>1809</v>
      </c>
      <c r="B328" s="210" t="s">
        <v>1810</v>
      </c>
    </row>
    <row r="329" spans="1:2">
      <c r="A329" s="209" t="s">
        <v>1811</v>
      </c>
      <c r="B329" s="210" t="s">
        <v>1812</v>
      </c>
    </row>
    <row r="330" spans="1:2">
      <c r="A330" s="209" t="s">
        <v>1813</v>
      </c>
      <c r="B330" s="210" t="s">
        <v>1814</v>
      </c>
    </row>
    <row r="331" spans="1:2">
      <c r="A331" s="209" t="s">
        <v>1815</v>
      </c>
      <c r="B331" s="210" t="s">
        <v>1816</v>
      </c>
    </row>
    <row r="332" spans="1:2">
      <c r="A332" s="209" t="s">
        <v>1817</v>
      </c>
      <c r="B332" s="210" t="s">
        <v>1818</v>
      </c>
    </row>
    <row r="333" spans="1:2">
      <c r="A333" s="209" t="s">
        <v>1819</v>
      </c>
      <c r="B333" s="210" t="s">
        <v>1820</v>
      </c>
    </row>
    <row r="334" spans="1:2">
      <c r="A334" s="209" t="s">
        <v>1821</v>
      </c>
      <c r="B334" s="210" t="s">
        <v>1822</v>
      </c>
    </row>
    <row r="335" spans="1:2">
      <c r="A335" s="209" t="s">
        <v>1823</v>
      </c>
      <c r="B335" s="210" t="s">
        <v>1824</v>
      </c>
    </row>
    <row r="336" spans="1:2">
      <c r="A336" s="209" t="s">
        <v>1825</v>
      </c>
      <c r="B336" s="210" t="s">
        <v>1826</v>
      </c>
    </row>
    <row r="337" spans="1:2">
      <c r="A337" s="209" t="s">
        <v>1827</v>
      </c>
      <c r="B337" s="210" t="s">
        <v>1828</v>
      </c>
    </row>
    <row r="338" spans="1:2">
      <c r="A338" s="209" t="s">
        <v>1829</v>
      </c>
      <c r="B338" s="210" t="s">
        <v>1830</v>
      </c>
    </row>
    <row r="339" spans="1:2">
      <c r="A339" s="209" t="s">
        <v>1831</v>
      </c>
      <c r="B339" s="210" t="s">
        <v>1832</v>
      </c>
    </row>
    <row r="340" spans="1:2">
      <c r="A340" s="209" t="s">
        <v>1833</v>
      </c>
      <c r="B340" s="210" t="s">
        <v>1834</v>
      </c>
    </row>
    <row r="341" spans="1:2">
      <c r="A341" s="209" t="s">
        <v>1835</v>
      </c>
      <c r="B341" s="210" t="s">
        <v>1836</v>
      </c>
    </row>
    <row r="342" spans="1:2">
      <c r="A342" s="209" t="s">
        <v>1837</v>
      </c>
      <c r="B342" s="210" t="s">
        <v>1838</v>
      </c>
    </row>
    <row r="343" spans="1:2">
      <c r="A343" s="209" t="s">
        <v>1839</v>
      </c>
      <c r="B343" s="210" t="s">
        <v>1840</v>
      </c>
    </row>
    <row r="344" spans="1:2">
      <c r="A344" s="209" t="s">
        <v>1841</v>
      </c>
      <c r="B344" s="210" t="s">
        <v>1842</v>
      </c>
    </row>
    <row r="345" spans="1:2">
      <c r="A345" s="209" t="s">
        <v>1843</v>
      </c>
      <c r="B345" s="210" t="s">
        <v>1844</v>
      </c>
    </row>
    <row r="346" spans="1:2">
      <c r="A346" s="209" t="s">
        <v>1845</v>
      </c>
      <c r="B346" s="210" t="s">
        <v>1846</v>
      </c>
    </row>
    <row r="347" spans="1:2">
      <c r="A347" s="209" t="s">
        <v>1847</v>
      </c>
      <c r="B347" s="210" t="s">
        <v>1848</v>
      </c>
    </row>
    <row r="348" spans="1:2">
      <c r="A348" s="209" t="s">
        <v>1849</v>
      </c>
      <c r="B348" s="210" t="s">
        <v>1850</v>
      </c>
    </row>
    <row r="349" spans="1:2">
      <c r="A349" s="209" t="s">
        <v>1851</v>
      </c>
      <c r="B349" s="210"/>
    </row>
    <row r="350" spans="1:2">
      <c r="A350" s="209" t="s">
        <v>1852</v>
      </c>
      <c r="B350" s="210" t="s">
        <v>1853</v>
      </c>
    </row>
    <row r="351" spans="1:2">
      <c r="A351" s="209" t="s">
        <v>1854</v>
      </c>
      <c r="B351" s="210" t="s">
        <v>1855</v>
      </c>
    </row>
    <row r="352" spans="1:2">
      <c r="A352" s="209" t="s">
        <v>1856</v>
      </c>
      <c r="B352" s="210" t="s">
        <v>1857</v>
      </c>
    </row>
    <row r="353" spans="1:2">
      <c r="A353" s="209" t="s">
        <v>1858</v>
      </c>
      <c r="B353" s="210" t="s">
        <v>1859</v>
      </c>
    </row>
    <row r="354" spans="1:2">
      <c r="A354" s="209" t="s">
        <v>1860</v>
      </c>
      <c r="B354" s="210" t="s">
        <v>1861</v>
      </c>
    </row>
    <row r="355" spans="1:2">
      <c r="A355" s="209" t="s">
        <v>1862</v>
      </c>
      <c r="B355" s="210" t="s">
        <v>1863</v>
      </c>
    </row>
    <row r="356" spans="1:2">
      <c r="A356" s="209" t="s">
        <v>1864</v>
      </c>
      <c r="B356" s="210" t="s">
        <v>1865</v>
      </c>
    </row>
    <row r="357" spans="1:2">
      <c r="A357" s="209" t="s">
        <v>1866</v>
      </c>
      <c r="B357" s="210" t="s">
        <v>1867</v>
      </c>
    </row>
    <row r="358" spans="1:2">
      <c r="A358" s="209" t="s">
        <v>1868</v>
      </c>
      <c r="B358" s="210" t="s">
        <v>1869</v>
      </c>
    </row>
    <row r="359" spans="1:2">
      <c r="A359" s="209" t="s">
        <v>1870</v>
      </c>
      <c r="B359" s="210" t="s">
        <v>1871</v>
      </c>
    </row>
    <row r="360" spans="1:2">
      <c r="A360" s="209" t="s">
        <v>1872</v>
      </c>
      <c r="B360" s="210" t="s">
        <v>1873</v>
      </c>
    </row>
    <row r="361" spans="1:2">
      <c r="A361" s="209" t="s">
        <v>1874</v>
      </c>
      <c r="B361" s="210" t="s">
        <v>1875</v>
      </c>
    </row>
    <row r="362" spans="1:2">
      <c r="A362" s="209" t="s">
        <v>1876</v>
      </c>
      <c r="B362" s="210" t="s">
        <v>1877</v>
      </c>
    </row>
    <row r="363" spans="1:2">
      <c r="A363" s="209" t="s">
        <v>1878</v>
      </c>
      <c r="B363" s="210" t="s">
        <v>1879</v>
      </c>
    </row>
    <row r="364" spans="1:2">
      <c r="A364" s="209" t="s">
        <v>1880</v>
      </c>
      <c r="B364" s="210" t="s">
        <v>1881</v>
      </c>
    </row>
    <row r="365" spans="1:2">
      <c r="A365" s="209" t="s">
        <v>1882</v>
      </c>
      <c r="B365" s="210" t="s">
        <v>1883</v>
      </c>
    </row>
    <row r="366" spans="1:2">
      <c r="A366" s="209" t="s">
        <v>1884</v>
      </c>
      <c r="B366" s="210" t="s">
        <v>1885</v>
      </c>
    </row>
    <row r="367" spans="1:2">
      <c r="A367" s="209" t="s">
        <v>1886</v>
      </c>
      <c r="B367" s="210" t="s">
        <v>1887</v>
      </c>
    </row>
    <row r="368" spans="1:2">
      <c r="A368" s="209" t="s">
        <v>1888</v>
      </c>
      <c r="B368" s="210" t="s">
        <v>1889</v>
      </c>
    </row>
    <row r="369" spans="1:2">
      <c r="A369" s="209" t="s">
        <v>1890</v>
      </c>
      <c r="B369" s="210" t="s">
        <v>1891</v>
      </c>
    </row>
    <row r="370" spans="1:2">
      <c r="A370" s="209" t="s">
        <v>1892</v>
      </c>
      <c r="B370" s="210" t="s">
        <v>1893</v>
      </c>
    </row>
    <row r="371" spans="1:2">
      <c r="A371" s="209" t="s">
        <v>1894</v>
      </c>
      <c r="B371" s="210" t="s">
        <v>1895</v>
      </c>
    </row>
    <row r="372" spans="1:2">
      <c r="A372" s="209" t="s">
        <v>1896</v>
      </c>
      <c r="B372" s="210" t="s">
        <v>1897</v>
      </c>
    </row>
    <row r="373" spans="1:2">
      <c r="A373" s="209" t="s">
        <v>1898</v>
      </c>
      <c r="B373" s="210" t="s">
        <v>1899</v>
      </c>
    </row>
    <row r="374" spans="1:2">
      <c r="A374" s="209" t="s">
        <v>1900</v>
      </c>
      <c r="B374" s="210" t="s">
        <v>1901</v>
      </c>
    </row>
    <row r="375" spans="1:2">
      <c r="A375" s="209" t="s">
        <v>1902</v>
      </c>
      <c r="B375" s="210" t="s">
        <v>1903</v>
      </c>
    </row>
    <row r="376" spans="1:2">
      <c r="A376" s="209" t="s">
        <v>1904</v>
      </c>
      <c r="B376" s="210" t="s">
        <v>1905</v>
      </c>
    </row>
    <row r="377" spans="1:2">
      <c r="A377" s="209" t="s">
        <v>1906</v>
      </c>
      <c r="B377" s="210" t="s">
        <v>1907</v>
      </c>
    </row>
    <row r="378" spans="1:2">
      <c r="A378" s="209" t="s">
        <v>1908</v>
      </c>
      <c r="B378" s="210" t="s">
        <v>1909</v>
      </c>
    </row>
    <row r="379" spans="1:2">
      <c r="A379" s="209" t="s">
        <v>1910</v>
      </c>
      <c r="B379" s="210" t="s">
        <v>1911</v>
      </c>
    </row>
    <row r="380" spans="1:2">
      <c r="A380" s="208" t="s">
        <v>2302</v>
      </c>
      <c r="B380" s="211" t="s">
        <v>2303</v>
      </c>
    </row>
    <row r="381" spans="1:2">
      <c r="A381" s="209" t="s">
        <v>1912</v>
      </c>
      <c r="B381" s="210" t="s">
        <v>1913</v>
      </c>
    </row>
    <row r="382" spans="1:2">
      <c r="A382" s="209" t="s">
        <v>1914</v>
      </c>
      <c r="B382" s="210" t="s">
        <v>1915</v>
      </c>
    </row>
    <row r="383" spans="1:2">
      <c r="A383" s="209" t="s">
        <v>1916</v>
      </c>
      <c r="B383" s="210" t="s">
        <v>1917</v>
      </c>
    </row>
    <row r="384" spans="1:2">
      <c r="A384" s="209" t="s">
        <v>1918</v>
      </c>
      <c r="B384" s="210" t="s">
        <v>1919</v>
      </c>
    </row>
    <row r="385" spans="1:2">
      <c r="A385" s="209" t="s">
        <v>1920</v>
      </c>
      <c r="B385" s="210" t="s">
        <v>1921</v>
      </c>
    </row>
    <row r="386" spans="1:2">
      <c r="A386" s="209" t="s">
        <v>1922</v>
      </c>
      <c r="B386" s="210" t="s">
        <v>1923</v>
      </c>
    </row>
    <row r="387" spans="1:2">
      <c r="A387" s="208" t="s">
        <v>2304</v>
      </c>
      <c r="B387" s="211" t="s">
        <v>2305</v>
      </c>
    </row>
    <row r="388" spans="1:2">
      <c r="A388" s="209" t="s">
        <v>1191</v>
      </c>
      <c r="B388" s="210"/>
    </row>
    <row r="389" spans="1:2">
      <c r="A389" s="208" t="s">
        <v>2306</v>
      </c>
      <c r="B389" s="211" t="s">
        <v>2285</v>
      </c>
    </row>
    <row r="390" spans="1:2">
      <c r="A390" s="209" t="s">
        <v>1924</v>
      </c>
      <c r="B390" s="210" t="s">
        <v>1925</v>
      </c>
    </row>
    <row r="391" spans="1:2">
      <c r="A391" s="209" t="s">
        <v>1926</v>
      </c>
      <c r="B391" s="210" t="s">
        <v>1251</v>
      </c>
    </row>
    <row r="392" spans="1:2">
      <c r="A392" s="209" t="s">
        <v>1927</v>
      </c>
      <c r="B392" s="210" t="s">
        <v>1928</v>
      </c>
    </row>
    <row r="393" spans="1:2">
      <c r="A393" s="209" t="s">
        <v>1929</v>
      </c>
      <c r="B393" s="210" t="s">
        <v>1930</v>
      </c>
    </row>
    <row r="394" spans="1:2">
      <c r="A394" s="209" t="s">
        <v>1931</v>
      </c>
      <c r="B394" s="210" t="s">
        <v>1247</v>
      </c>
    </row>
    <row r="395" spans="1:2">
      <c r="A395" s="208" t="s">
        <v>2307</v>
      </c>
      <c r="B395" s="211" t="s">
        <v>823</v>
      </c>
    </row>
    <row r="396" spans="1:2">
      <c r="A396" s="209" t="s">
        <v>1932</v>
      </c>
      <c r="B396" s="210" t="s">
        <v>1205</v>
      </c>
    </row>
    <row r="397" spans="1:2">
      <c r="A397" s="209" t="s">
        <v>1933</v>
      </c>
      <c r="B397" s="210" t="s">
        <v>1207</v>
      </c>
    </row>
    <row r="398" spans="1:2">
      <c r="A398" s="209" t="s">
        <v>1934</v>
      </c>
      <c r="B398" s="210" t="s">
        <v>1209</v>
      </c>
    </row>
    <row r="399" spans="1:2">
      <c r="A399" s="208" t="s">
        <v>2308</v>
      </c>
      <c r="B399" s="211" t="s">
        <v>2282</v>
      </c>
    </row>
    <row r="400" spans="1:2">
      <c r="A400" s="209" t="s">
        <v>1935</v>
      </c>
      <c r="B400" s="210" t="s">
        <v>1936</v>
      </c>
    </row>
    <row r="401" spans="1:2">
      <c r="A401" s="207" t="s">
        <v>442</v>
      </c>
      <c r="B401" s="212" t="s">
        <v>2258</v>
      </c>
    </row>
    <row r="402" spans="1:2">
      <c r="A402" s="208" t="s">
        <v>2283</v>
      </c>
      <c r="B402" s="211" t="s">
        <v>2284</v>
      </c>
    </row>
    <row r="403" spans="1:2">
      <c r="A403" s="208" t="s">
        <v>2309</v>
      </c>
      <c r="B403" s="211" t="s">
        <v>2310</v>
      </c>
    </row>
    <row r="404" spans="1:2">
      <c r="A404" s="209" t="s">
        <v>1937</v>
      </c>
      <c r="B404" s="210" t="s">
        <v>1938</v>
      </c>
    </row>
    <row r="405" spans="1:2">
      <c r="A405" s="209" t="s">
        <v>1939</v>
      </c>
      <c r="B405" s="210" t="s">
        <v>1940</v>
      </c>
    </row>
    <row r="406" spans="1:2">
      <c r="A406" s="209" t="s">
        <v>1941</v>
      </c>
      <c r="B406" s="210" t="s">
        <v>1942</v>
      </c>
    </row>
    <row r="407" spans="1:2">
      <c r="A407" s="209" t="s">
        <v>1943</v>
      </c>
      <c r="B407" s="210" t="s">
        <v>1944</v>
      </c>
    </row>
    <row r="408" spans="1:2">
      <c r="A408" s="209" t="s">
        <v>1945</v>
      </c>
      <c r="B408" s="210" t="s">
        <v>1946</v>
      </c>
    </row>
    <row r="409" spans="1:2">
      <c r="A409" s="209" t="s">
        <v>1947</v>
      </c>
      <c r="B409" s="210" t="s">
        <v>1948</v>
      </c>
    </row>
    <row r="410" spans="1:2">
      <c r="A410" s="209" t="s">
        <v>1949</v>
      </c>
      <c r="B410" s="210" t="s">
        <v>1950</v>
      </c>
    </row>
    <row r="411" spans="1:2">
      <c r="A411" s="209" t="s">
        <v>1951</v>
      </c>
      <c r="B411" s="210" t="s">
        <v>1952</v>
      </c>
    </row>
    <row r="412" spans="1:2">
      <c r="A412" s="209" t="s">
        <v>1953</v>
      </c>
      <c r="B412" s="210" t="s">
        <v>1954</v>
      </c>
    </row>
    <row r="413" spans="1:2">
      <c r="A413" s="209" t="s">
        <v>1955</v>
      </c>
      <c r="B413" s="210" t="s">
        <v>1956</v>
      </c>
    </row>
    <row r="414" spans="1:2">
      <c r="A414" s="209" t="s">
        <v>1957</v>
      </c>
      <c r="B414" s="210" t="s">
        <v>1958</v>
      </c>
    </row>
    <row r="415" spans="1:2">
      <c r="A415" s="209" t="s">
        <v>1959</v>
      </c>
      <c r="B415" s="210" t="s">
        <v>1960</v>
      </c>
    </row>
    <row r="416" spans="1:2">
      <c r="A416" s="209" t="s">
        <v>1961</v>
      </c>
      <c r="B416" s="210" t="s">
        <v>1962</v>
      </c>
    </row>
    <row r="417" spans="1:2">
      <c r="A417" s="209" t="s">
        <v>1963</v>
      </c>
      <c r="B417" s="210" t="s">
        <v>1964</v>
      </c>
    </row>
    <row r="418" spans="1:2">
      <c r="A418" s="209" t="s">
        <v>1965</v>
      </c>
      <c r="B418" s="210" t="s">
        <v>1966</v>
      </c>
    </row>
    <row r="419" spans="1:2">
      <c r="A419" s="209" t="s">
        <v>1967</v>
      </c>
      <c r="B419" s="210" t="s">
        <v>1968</v>
      </c>
    </row>
    <row r="420" spans="1:2">
      <c r="A420" s="209" t="s">
        <v>1969</v>
      </c>
      <c r="B420" s="210" t="s">
        <v>1970</v>
      </c>
    </row>
    <row r="421" spans="1:2">
      <c r="A421" s="209" t="s">
        <v>1971</v>
      </c>
      <c r="B421" s="210" t="s">
        <v>1972</v>
      </c>
    </row>
    <row r="422" spans="1:2">
      <c r="A422" s="209" t="s">
        <v>1973</v>
      </c>
      <c r="B422" s="210" t="s">
        <v>1974</v>
      </c>
    </row>
    <row r="423" spans="1:2" ht="22.5">
      <c r="A423" s="209" t="s">
        <v>1975</v>
      </c>
      <c r="B423" s="210" t="s">
        <v>1976</v>
      </c>
    </row>
    <row r="424" spans="1:2">
      <c r="A424" s="209" t="s">
        <v>1977</v>
      </c>
      <c r="B424" s="210" t="s">
        <v>1978</v>
      </c>
    </row>
    <row r="425" spans="1:2">
      <c r="A425" s="209" t="s">
        <v>1979</v>
      </c>
      <c r="B425" s="210" t="s">
        <v>1980</v>
      </c>
    </row>
    <row r="426" spans="1:2">
      <c r="A426" s="209" t="s">
        <v>1981</v>
      </c>
      <c r="B426" s="210" t="s">
        <v>1982</v>
      </c>
    </row>
    <row r="427" spans="1:2">
      <c r="A427" s="209" t="s">
        <v>1983</v>
      </c>
      <c r="B427" s="210" t="s">
        <v>1984</v>
      </c>
    </row>
    <row r="428" spans="1:2">
      <c r="A428" s="209" t="s">
        <v>1985</v>
      </c>
      <c r="B428" s="210" t="s">
        <v>1986</v>
      </c>
    </row>
    <row r="429" spans="1:2">
      <c r="A429" s="209" t="s">
        <v>1987</v>
      </c>
      <c r="B429" s="210" t="s">
        <v>1988</v>
      </c>
    </row>
    <row r="430" spans="1:2">
      <c r="A430" s="209" t="s">
        <v>1989</v>
      </c>
      <c r="B430" s="210" t="s">
        <v>1990</v>
      </c>
    </row>
    <row r="431" spans="1:2">
      <c r="A431" s="209" t="s">
        <v>1991</v>
      </c>
      <c r="B431" s="210" t="s">
        <v>1992</v>
      </c>
    </row>
    <row r="432" spans="1:2">
      <c r="A432" s="209" t="s">
        <v>1993</v>
      </c>
      <c r="B432" s="210" t="s">
        <v>1994</v>
      </c>
    </row>
    <row r="433" spans="1:2">
      <c r="A433" s="209" t="s">
        <v>1995</v>
      </c>
      <c r="B433" s="210" t="s">
        <v>1996</v>
      </c>
    </row>
    <row r="434" spans="1:2">
      <c r="A434" s="209" t="s">
        <v>1997</v>
      </c>
      <c r="B434" s="210" t="s">
        <v>1998</v>
      </c>
    </row>
    <row r="435" spans="1:2">
      <c r="A435" s="209" t="s">
        <v>1999</v>
      </c>
      <c r="B435" s="210" t="s">
        <v>2000</v>
      </c>
    </row>
    <row r="436" spans="1:2">
      <c r="A436" s="209" t="s">
        <v>2001</v>
      </c>
      <c r="B436" s="210" t="s">
        <v>2002</v>
      </c>
    </row>
    <row r="437" spans="1:2">
      <c r="A437" s="209" t="s">
        <v>2003</v>
      </c>
      <c r="B437" s="210" t="s">
        <v>2004</v>
      </c>
    </row>
    <row r="438" spans="1:2">
      <c r="A438" s="209" t="s">
        <v>2005</v>
      </c>
      <c r="B438" s="210" t="s">
        <v>2006</v>
      </c>
    </row>
    <row r="439" spans="1:2">
      <c r="A439" s="209" t="s">
        <v>2007</v>
      </c>
      <c r="B439" s="210" t="s">
        <v>2008</v>
      </c>
    </row>
    <row r="440" spans="1:2">
      <c r="A440" s="209" t="s">
        <v>2009</v>
      </c>
      <c r="B440" s="210" t="s">
        <v>2010</v>
      </c>
    </row>
    <row r="441" spans="1:2">
      <c r="A441" s="209" t="s">
        <v>2011</v>
      </c>
      <c r="B441" s="210" t="s">
        <v>2012</v>
      </c>
    </row>
    <row r="442" spans="1:2">
      <c r="A442" s="209" t="s">
        <v>2013</v>
      </c>
      <c r="B442" s="210" t="s">
        <v>2014</v>
      </c>
    </row>
    <row r="443" spans="1:2">
      <c r="A443" s="209" t="s">
        <v>2015</v>
      </c>
      <c r="B443" s="210" t="s">
        <v>2016</v>
      </c>
    </row>
    <row r="444" spans="1:2">
      <c r="A444" s="209" t="s">
        <v>2017</v>
      </c>
      <c r="B444" s="210" t="s">
        <v>2018</v>
      </c>
    </row>
    <row r="445" spans="1:2">
      <c r="A445" s="209" t="s">
        <v>2019</v>
      </c>
      <c r="B445" s="210" t="s">
        <v>2020</v>
      </c>
    </row>
    <row r="446" spans="1:2">
      <c r="A446" s="209" t="s">
        <v>2021</v>
      </c>
      <c r="B446" s="210" t="s">
        <v>2022</v>
      </c>
    </row>
    <row r="447" spans="1:2">
      <c r="A447" s="209" t="s">
        <v>2023</v>
      </c>
      <c r="B447" s="210" t="s">
        <v>2024</v>
      </c>
    </row>
    <row r="448" spans="1:2">
      <c r="A448" s="209" t="s">
        <v>2025</v>
      </c>
      <c r="B448" s="210" t="s">
        <v>2026</v>
      </c>
    </row>
    <row r="449" spans="1:2">
      <c r="A449" s="209" t="s">
        <v>2027</v>
      </c>
      <c r="B449" s="210" t="s">
        <v>2028</v>
      </c>
    </row>
    <row r="450" spans="1:2">
      <c r="A450" s="209" t="s">
        <v>2029</v>
      </c>
      <c r="B450" s="210" t="s">
        <v>2030</v>
      </c>
    </row>
    <row r="451" spans="1:2">
      <c r="A451" s="209" t="s">
        <v>2031</v>
      </c>
      <c r="B451" s="210" t="s">
        <v>2032</v>
      </c>
    </row>
    <row r="452" spans="1:2">
      <c r="A452" s="209" t="s">
        <v>2033</v>
      </c>
      <c r="B452" s="210" t="s">
        <v>2034</v>
      </c>
    </row>
    <row r="453" spans="1:2">
      <c r="A453" s="209" t="s">
        <v>2035</v>
      </c>
      <c r="B453" s="210" t="s">
        <v>2036</v>
      </c>
    </row>
    <row r="454" spans="1:2">
      <c r="A454" s="209" t="s">
        <v>2037</v>
      </c>
      <c r="B454" s="210" t="s">
        <v>2038</v>
      </c>
    </row>
    <row r="455" spans="1:2">
      <c r="A455" s="209" t="s">
        <v>2039</v>
      </c>
      <c r="B455" s="210" t="s">
        <v>2040</v>
      </c>
    </row>
    <row r="456" spans="1:2">
      <c r="A456" s="209" t="s">
        <v>2041</v>
      </c>
      <c r="B456" s="210" t="s">
        <v>2042</v>
      </c>
    </row>
    <row r="457" spans="1:2">
      <c r="A457" s="209" t="s">
        <v>2043</v>
      </c>
      <c r="B457" s="210" t="s">
        <v>2044</v>
      </c>
    </row>
    <row r="458" spans="1:2">
      <c r="A458" s="209" t="s">
        <v>2045</v>
      </c>
      <c r="B458" s="210" t="s">
        <v>2046</v>
      </c>
    </row>
    <row r="459" spans="1:2">
      <c r="A459" s="209" t="s">
        <v>2047</v>
      </c>
      <c r="B459" s="210" t="s">
        <v>2048</v>
      </c>
    </row>
    <row r="460" spans="1:2">
      <c r="A460" s="209" t="s">
        <v>2049</v>
      </c>
      <c r="B460" s="210" t="s">
        <v>2050</v>
      </c>
    </row>
    <row r="461" spans="1:2">
      <c r="A461" s="209" t="s">
        <v>2051</v>
      </c>
      <c r="B461" s="210" t="s">
        <v>2052</v>
      </c>
    </row>
    <row r="462" spans="1:2">
      <c r="A462" s="209" t="s">
        <v>2053</v>
      </c>
      <c r="B462" s="210" t="s">
        <v>2054</v>
      </c>
    </row>
    <row r="463" spans="1:2">
      <c r="A463" s="209" t="s">
        <v>2055</v>
      </c>
      <c r="B463" s="210" t="s">
        <v>2056</v>
      </c>
    </row>
    <row r="464" spans="1:2">
      <c r="A464" s="208" t="s">
        <v>2311</v>
      </c>
      <c r="B464" s="211" t="s">
        <v>2285</v>
      </c>
    </row>
    <row r="465" spans="1:2">
      <c r="A465" s="209" t="s">
        <v>2057</v>
      </c>
      <c r="B465" s="210" t="s">
        <v>1925</v>
      </c>
    </row>
    <row r="466" spans="1:2">
      <c r="A466" s="209" t="s">
        <v>2058</v>
      </c>
      <c r="B466" s="210" t="s">
        <v>1251</v>
      </c>
    </row>
    <row r="467" spans="1:2">
      <c r="A467" s="209" t="s">
        <v>2059</v>
      </c>
      <c r="B467" s="210" t="s">
        <v>2060</v>
      </c>
    </row>
    <row r="468" spans="1:2">
      <c r="A468" s="209" t="s">
        <v>2061</v>
      </c>
      <c r="B468" s="210" t="s">
        <v>1928</v>
      </c>
    </row>
    <row r="469" spans="1:2">
      <c r="A469" s="209" t="s">
        <v>2062</v>
      </c>
      <c r="B469" s="210"/>
    </row>
    <row r="470" spans="1:2">
      <c r="A470" s="209" t="s">
        <v>2063</v>
      </c>
      <c r="B470" s="210"/>
    </row>
    <row r="471" spans="1:2">
      <c r="A471" s="209" t="s">
        <v>2064</v>
      </c>
      <c r="B471" s="210" t="s">
        <v>2065</v>
      </c>
    </row>
    <row r="472" spans="1:2">
      <c r="A472" s="209" t="s">
        <v>2066</v>
      </c>
      <c r="B472" s="210" t="s">
        <v>1247</v>
      </c>
    </row>
    <row r="473" spans="1:2">
      <c r="A473" s="207" t="s">
        <v>2262</v>
      </c>
      <c r="B473" s="212" t="s">
        <v>2263</v>
      </c>
    </row>
    <row r="474" spans="1:2">
      <c r="A474" s="208" t="s">
        <v>2312</v>
      </c>
      <c r="B474" s="211" t="s">
        <v>2313</v>
      </c>
    </row>
    <row r="475" spans="1:2">
      <c r="A475" s="208" t="s">
        <v>2314</v>
      </c>
      <c r="B475" s="211" t="s">
        <v>1036</v>
      </c>
    </row>
    <row r="476" spans="1:2">
      <c r="A476" s="209" t="s">
        <v>2067</v>
      </c>
      <c r="B476" s="210" t="s">
        <v>2068</v>
      </c>
    </row>
    <row r="477" spans="1:2">
      <c r="A477" s="208" t="s">
        <v>2315</v>
      </c>
      <c r="B477" s="211" t="s">
        <v>2316</v>
      </c>
    </row>
    <row r="478" spans="1:2">
      <c r="A478" s="209" t="s">
        <v>2069</v>
      </c>
      <c r="B478" s="210" t="s">
        <v>2070</v>
      </c>
    </row>
    <row r="479" spans="1:2">
      <c r="A479" s="209" t="s">
        <v>2071</v>
      </c>
      <c r="B479" s="210" t="s">
        <v>2072</v>
      </c>
    </row>
    <row r="480" spans="1:2">
      <c r="A480" s="207" t="s">
        <v>2266</v>
      </c>
      <c r="B480" s="212" t="s">
        <v>2267</v>
      </c>
    </row>
    <row r="481" spans="1:2">
      <c r="A481" s="208" t="s">
        <v>2312</v>
      </c>
      <c r="B481" s="211" t="s">
        <v>2313</v>
      </c>
    </row>
    <row r="482" spans="1:2">
      <c r="A482" s="208" t="s">
        <v>2317</v>
      </c>
      <c r="B482" s="211" t="s">
        <v>2318</v>
      </c>
    </row>
    <row r="483" spans="1:2">
      <c r="A483" s="209" t="s">
        <v>2073</v>
      </c>
      <c r="B483" s="210" t="s">
        <v>2074</v>
      </c>
    </row>
    <row r="484" spans="1:2">
      <c r="A484" s="209" t="s">
        <v>2075</v>
      </c>
      <c r="B484" s="210" t="s">
        <v>2076</v>
      </c>
    </row>
    <row r="485" spans="1:2">
      <c r="A485" s="209" t="s">
        <v>2077</v>
      </c>
      <c r="B485" s="210" t="s">
        <v>2078</v>
      </c>
    </row>
    <row r="486" spans="1:2">
      <c r="A486" s="207" t="s">
        <v>2276</v>
      </c>
      <c r="B486" s="212" t="s">
        <v>2277</v>
      </c>
    </row>
    <row r="487" spans="1:2">
      <c r="A487" s="208" t="s">
        <v>2279</v>
      </c>
      <c r="B487" s="211" t="s">
        <v>2280</v>
      </c>
    </row>
    <row r="488" spans="1:2">
      <c r="A488" s="208" t="s">
        <v>2319</v>
      </c>
      <c r="B488" s="211" t="s">
        <v>823</v>
      </c>
    </row>
    <row r="489" spans="1:2">
      <c r="A489" s="209" t="s">
        <v>2079</v>
      </c>
      <c r="B489" s="210" t="s">
        <v>2080</v>
      </c>
    </row>
    <row r="490" spans="1:2">
      <c r="A490" s="209" t="s">
        <v>2081</v>
      </c>
      <c r="B490" s="210" t="s">
        <v>2082</v>
      </c>
    </row>
    <row r="491" spans="1:2">
      <c r="A491" s="209" t="s">
        <v>2083</v>
      </c>
      <c r="B491" s="210" t="s">
        <v>2084</v>
      </c>
    </row>
    <row r="492" spans="1:2">
      <c r="A492" s="209" t="s">
        <v>2085</v>
      </c>
      <c r="B492" s="210" t="s">
        <v>2086</v>
      </c>
    </row>
    <row r="493" spans="1:2">
      <c r="A493" s="209" t="s">
        <v>2087</v>
      </c>
      <c r="B493" s="210" t="s">
        <v>2088</v>
      </c>
    </row>
    <row r="494" spans="1:2">
      <c r="A494" s="209" t="s">
        <v>2089</v>
      </c>
      <c r="B494" s="210" t="s">
        <v>2090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ifain</dc:creator>
  <cp:keywords/>
  <dc:description/>
  <cp:lastModifiedBy>Nataša Ilić - Huserik</cp:lastModifiedBy>
  <cp:revision/>
  <cp:lastPrinted>2020-10-19T08:02:23Z</cp:lastPrinted>
  <dcterms:created xsi:type="dcterms:W3CDTF">2018-09-10T07:36:17Z</dcterms:created>
  <dcterms:modified xsi:type="dcterms:W3CDTF">2020-10-19T08:05:57Z</dcterms:modified>
  <cp:category/>
  <cp:contentStatus/>
</cp:coreProperties>
</file>